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010" windowHeight="12765" tabRatio="238" activeTab="1"/>
  </bookViews>
  <sheets>
    <sheet name="Kasutusjuhend" sheetId="4" r:id="rId1"/>
    <sheet name="Kalkulaator" sheetId="3" r:id="rId2"/>
  </sheets>
  <calcPr calcId="145621"/>
</workbook>
</file>

<file path=xl/calcChain.xml><?xml version="1.0" encoding="utf-8"?>
<calcChain xmlns="http://schemas.openxmlformats.org/spreadsheetml/2006/main">
  <c r="BT26" i="3" l="1"/>
  <c r="BT25" i="3"/>
  <c r="AF54" i="3"/>
  <c r="AF53" i="3"/>
  <c r="AF52" i="3"/>
  <c r="AF51" i="3"/>
  <c r="AF50" i="3"/>
  <c r="AF49" i="3"/>
  <c r="AF48" i="3"/>
  <c r="AF47" i="3"/>
  <c r="AF46" i="3"/>
  <c r="AF45" i="3"/>
  <c r="AF41" i="3"/>
  <c r="AF40" i="3"/>
  <c r="AF39" i="3"/>
  <c r="AF38" i="3"/>
  <c r="AF37" i="3"/>
  <c r="AF36" i="3"/>
  <c r="AF35" i="3"/>
  <c r="AF34" i="3"/>
  <c r="AF33" i="3"/>
  <c r="AF32" i="3"/>
  <c r="AF28" i="3"/>
  <c r="AF27" i="3"/>
  <c r="AF26" i="3"/>
  <c r="AF25" i="3"/>
  <c r="AF24" i="3"/>
  <c r="AF23" i="3"/>
  <c r="AF22" i="3"/>
  <c r="AF21" i="3"/>
  <c r="AF20" i="3"/>
  <c r="AF19" i="3"/>
  <c r="AF7" i="3"/>
  <c r="AF8" i="3"/>
  <c r="AF9" i="3"/>
  <c r="AF10" i="3"/>
  <c r="AF11" i="3"/>
  <c r="AF12" i="3"/>
  <c r="AF13" i="3"/>
  <c r="AF14" i="3"/>
  <c r="AF15" i="3"/>
  <c r="AF6" i="3"/>
  <c r="E57" i="3"/>
  <c r="AG6" i="3"/>
  <c r="AG7" i="3"/>
  <c r="AG8" i="3"/>
  <c r="AG9" i="3"/>
  <c r="AG10" i="3"/>
  <c r="AG11" i="3"/>
  <c r="AG12" i="3"/>
  <c r="AG13" i="3"/>
  <c r="AG14" i="3"/>
  <c r="AG15" i="3"/>
  <c r="AG19" i="3"/>
  <c r="AG20" i="3"/>
  <c r="AG21" i="3"/>
  <c r="AG22" i="3"/>
  <c r="AG23" i="3"/>
  <c r="AG24" i="3"/>
  <c r="AG25" i="3"/>
  <c r="AG26" i="3"/>
  <c r="AG27" i="3"/>
  <c r="AG28" i="3"/>
  <c r="AG32" i="3"/>
  <c r="AG33" i="3"/>
  <c r="AG34" i="3"/>
  <c r="AG35" i="3"/>
  <c r="AG36" i="3"/>
  <c r="AG37" i="3"/>
  <c r="AG38" i="3"/>
  <c r="AG39" i="3"/>
  <c r="AG40" i="3"/>
  <c r="AG41" i="3"/>
  <c r="AG45" i="3"/>
  <c r="AG46" i="3"/>
  <c r="AG47" i="3"/>
  <c r="AG48" i="3"/>
  <c r="AG49" i="3"/>
  <c r="AG50" i="3"/>
  <c r="AG51" i="3"/>
  <c r="AG52" i="3"/>
  <c r="AG53" i="3"/>
  <c r="AG54" i="3"/>
  <c r="AJ6" i="3" l="1"/>
  <c r="AK6" i="3"/>
  <c r="AL6" i="3"/>
  <c r="AM6" i="3" a="1"/>
  <c r="AM6" i="3" s="1"/>
  <c r="AN6" i="3" a="1"/>
  <c r="AN6" i="3" s="1"/>
  <c r="AP6" i="3" a="1"/>
  <c r="AP6" i="3" s="1"/>
  <c r="AQ6" i="3" a="1"/>
  <c r="AQ6" i="3" s="1"/>
  <c r="AU6" i="3"/>
  <c r="AW6" i="3"/>
  <c r="AX6" i="3"/>
  <c r="AY6" i="3"/>
  <c r="AZ6" i="3"/>
  <c r="BB6" i="3"/>
  <c r="AI6" i="3" s="1"/>
  <c r="BC6" i="3"/>
  <c r="BD6" i="3"/>
  <c r="BE6" i="3"/>
  <c r="BF6" i="3"/>
  <c r="BG6" i="3"/>
  <c r="BH6" i="3"/>
  <c r="BJ6" i="3"/>
  <c r="AJ7" i="3"/>
  <c r="AK7" i="3"/>
  <c r="AL7" i="3"/>
  <c r="AM7" i="3" a="1"/>
  <c r="AM7" i="3" s="1"/>
  <c r="AN7" i="3" a="1"/>
  <c r="AN7" i="3" s="1"/>
  <c r="AP7" i="3" a="1"/>
  <c r="AP7" i="3" s="1"/>
  <c r="AQ7" i="3" a="1"/>
  <c r="AQ7" i="3" s="1"/>
  <c r="AU7" i="3"/>
  <c r="AW7" i="3"/>
  <c r="AX7" i="3"/>
  <c r="AY7" i="3"/>
  <c r="AZ7" i="3"/>
  <c r="BB7" i="3"/>
  <c r="AI7" i="3" s="1"/>
  <c r="BC7" i="3"/>
  <c r="BD7" i="3"/>
  <c r="BE7" i="3"/>
  <c r="BF7" i="3"/>
  <c r="BG7" i="3"/>
  <c r="BH7" i="3"/>
  <c r="BJ7" i="3"/>
  <c r="AJ8" i="3"/>
  <c r="AK8" i="3"/>
  <c r="AL8" i="3"/>
  <c r="AM8" i="3" a="1"/>
  <c r="AM8" i="3" s="1"/>
  <c r="AN8" i="3" a="1"/>
  <c r="AN8" i="3" s="1"/>
  <c r="AP8" i="3" a="1"/>
  <c r="AP8" i="3" s="1"/>
  <c r="AQ8" i="3" a="1"/>
  <c r="AQ8" i="3" s="1"/>
  <c r="AU8" i="3"/>
  <c r="AW8" i="3"/>
  <c r="AX8" i="3"/>
  <c r="AY8" i="3"/>
  <c r="AZ8" i="3"/>
  <c r="BB8" i="3"/>
  <c r="AI8" i="3" s="1"/>
  <c r="BC8" i="3"/>
  <c r="BD8" i="3"/>
  <c r="BE8" i="3"/>
  <c r="BF8" i="3"/>
  <c r="BG8" i="3"/>
  <c r="BH8" i="3"/>
  <c r="BJ8" i="3"/>
  <c r="AJ9" i="3"/>
  <c r="AK9" i="3"/>
  <c r="AL9" i="3"/>
  <c r="AM9" i="3" a="1"/>
  <c r="AM9" i="3" s="1"/>
  <c r="AN9" i="3" a="1"/>
  <c r="AN9" i="3" s="1"/>
  <c r="AP9" i="3" a="1"/>
  <c r="AP9" i="3" s="1"/>
  <c r="AQ9" i="3" a="1"/>
  <c r="AQ9" i="3" s="1"/>
  <c r="AU9" i="3"/>
  <c r="AW9" i="3"/>
  <c r="AX9" i="3"/>
  <c r="AY9" i="3"/>
  <c r="AZ9" i="3"/>
  <c r="BB9" i="3"/>
  <c r="AI9" i="3" s="1"/>
  <c r="BC9" i="3"/>
  <c r="BD9" i="3"/>
  <c r="BE9" i="3"/>
  <c r="BF9" i="3"/>
  <c r="BG9" i="3"/>
  <c r="BH9" i="3"/>
  <c r="BJ9" i="3"/>
  <c r="AJ10" i="3"/>
  <c r="AK10" i="3"/>
  <c r="AL10" i="3"/>
  <c r="AM10" i="3" a="1"/>
  <c r="AM10" i="3" s="1"/>
  <c r="AN10" i="3" a="1"/>
  <c r="AN10" i="3" s="1"/>
  <c r="AP10" i="3" a="1"/>
  <c r="AP10" i="3" s="1"/>
  <c r="AQ10" i="3" a="1"/>
  <c r="AQ10" i="3" s="1"/>
  <c r="AU10" i="3"/>
  <c r="AW10" i="3"/>
  <c r="AX10" i="3"/>
  <c r="AY10" i="3"/>
  <c r="AZ10" i="3"/>
  <c r="BB10" i="3"/>
  <c r="AI10" i="3" s="1"/>
  <c r="BC10" i="3"/>
  <c r="BD10" i="3"/>
  <c r="BE10" i="3"/>
  <c r="BF10" i="3"/>
  <c r="BG10" i="3"/>
  <c r="BH10" i="3"/>
  <c r="BJ10" i="3"/>
  <c r="AJ11" i="3"/>
  <c r="AK11" i="3"/>
  <c r="AL11" i="3"/>
  <c r="AM11" i="3" a="1"/>
  <c r="AM11" i="3" s="1"/>
  <c r="AN11" i="3" a="1"/>
  <c r="AN11" i="3" s="1"/>
  <c r="AP11" i="3" a="1"/>
  <c r="AP11" i="3" s="1"/>
  <c r="AQ11" i="3" a="1"/>
  <c r="AQ11" i="3" s="1"/>
  <c r="AU11" i="3"/>
  <c r="AW11" i="3"/>
  <c r="AX11" i="3"/>
  <c r="AY11" i="3"/>
  <c r="AZ11" i="3"/>
  <c r="BB11" i="3"/>
  <c r="AI11" i="3" s="1"/>
  <c r="BC11" i="3"/>
  <c r="BD11" i="3"/>
  <c r="BE11" i="3"/>
  <c r="BF11" i="3"/>
  <c r="BG11" i="3"/>
  <c r="BH11" i="3"/>
  <c r="BJ11" i="3"/>
  <c r="AJ12" i="3"/>
  <c r="AK12" i="3"/>
  <c r="AL12" i="3"/>
  <c r="AM12" i="3" a="1"/>
  <c r="AM12" i="3" s="1"/>
  <c r="AN12" i="3" a="1"/>
  <c r="AN12" i="3" s="1"/>
  <c r="AP12" i="3" a="1"/>
  <c r="AP12" i="3" s="1"/>
  <c r="AQ12" i="3" a="1"/>
  <c r="AQ12" i="3" s="1"/>
  <c r="AU12" i="3"/>
  <c r="AW12" i="3"/>
  <c r="AX12" i="3"/>
  <c r="AY12" i="3"/>
  <c r="AZ12" i="3"/>
  <c r="BB12" i="3"/>
  <c r="AI12" i="3" s="1"/>
  <c r="BC12" i="3"/>
  <c r="BD12" i="3"/>
  <c r="BE12" i="3"/>
  <c r="BF12" i="3"/>
  <c r="BG12" i="3"/>
  <c r="BH12" i="3"/>
  <c r="BJ12" i="3"/>
  <c r="AJ13" i="3"/>
  <c r="AK13" i="3"/>
  <c r="AL13" i="3"/>
  <c r="AM13" i="3" a="1"/>
  <c r="AM13" i="3" s="1"/>
  <c r="AN13" i="3" a="1"/>
  <c r="AN13" i="3" s="1"/>
  <c r="AP13" i="3" a="1"/>
  <c r="AP13" i="3" s="1"/>
  <c r="AQ13" i="3" a="1"/>
  <c r="AQ13" i="3" s="1"/>
  <c r="AU13" i="3"/>
  <c r="AW13" i="3"/>
  <c r="AX13" i="3"/>
  <c r="AY13" i="3"/>
  <c r="AZ13" i="3"/>
  <c r="BB13" i="3"/>
  <c r="AI13" i="3" s="1"/>
  <c r="BC13" i="3"/>
  <c r="BD13" i="3"/>
  <c r="BE13" i="3"/>
  <c r="BF13" i="3"/>
  <c r="BG13" i="3"/>
  <c r="BH13" i="3"/>
  <c r="BJ13" i="3"/>
  <c r="AJ14" i="3"/>
  <c r="AK14" i="3"/>
  <c r="AL14" i="3"/>
  <c r="AM14" i="3" a="1"/>
  <c r="AM14" i="3" s="1"/>
  <c r="AN14" i="3" a="1"/>
  <c r="AN14" i="3" s="1"/>
  <c r="AP14" i="3" a="1"/>
  <c r="AP14" i="3" s="1"/>
  <c r="AQ14" i="3" a="1"/>
  <c r="AQ14" i="3" s="1"/>
  <c r="AU14" i="3"/>
  <c r="AW14" i="3"/>
  <c r="AX14" i="3"/>
  <c r="AY14" i="3"/>
  <c r="AZ14" i="3"/>
  <c r="BB14" i="3"/>
  <c r="AI14" i="3" s="1"/>
  <c r="BC14" i="3"/>
  <c r="BD14" i="3"/>
  <c r="BE14" i="3"/>
  <c r="BF14" i="3"/>
  <c r="BG14" i="3"/>
  <c r="BH14" i="3"/>
  <c r="BJ14" i="3"/>
  <c r="AJ15" i="3"/>
  <c r="AK15" i="3"/>
  <c r="AL15" i="3"/>
  <c r="AM15" i="3" a="1"/>
  <c r="AM15" i="3" s="1"/>
  <c r="AN15" i="3" a="1"/>
  <c r="AN15" i="3" s="1"/>
  <c r="AP15" i="3" a="1"/>
  <c r="AP15" i="3" s="1"/>
  <c r="AQ15" i="3" a="1"/>
  <c r="AQ15" i="3" s="1"/>
  <c r="AU15" i="3"/>
  <c r="AW15" i="3"/>
  <c r="AX15" i="3"/>
  <c r="AY15" i="3"/>
  <c r="AZ15" i="3"/>
  <c r="BB15" i="3"/>
  <c r="AI15" i="3" s="1"/>
  <c r="BC15" i="3"/>
  <c r="BD15" i="3"/>
  <c r="BE15" i="3"/>
  <c r="BF15" i="3"/>
  <c r="BG15" i="3"/>
  <c r="BH15" i="3"/>
  <c r="BJ15" i="3"/>
  <c r="AJ19" i="3"/>
  <c r="AK19" i="3"/>
  <c r="AL19" i="3"/>
  <c r="AM19" i="3" a="1"/>
  <c r="AM19" i="3" s="1"/>
  <c r="AN19" i="3" a="1"/>
  <c r="AN19" i="3" s="1"/>
  <c r="AP19" i="3" a="1"/>
  <c r="AP19" i="3" s="1"/>
  <c r="AQ19" i="3" a="1"/>
  <c r="AQ19" i="3" s="1"/>
  <c r="AU19" i="3"/>
  <c r="AW19" i="3"/>
  <c r="AX19" i="3"/>
  <c r="AY19" i="3"/>
  <c r="AZ19" i="3"/>
  <c r="BB19" i="3"/>
  <c r="AI19" i="3" s="1"/>
  <c r="BD19" i="3"/>
  <c r="BE19" i="3"/>
  <c r="BF19" i="3"/>
  <c r="BG19" i="3"/>
  <c r="BH19" i="3"/>
  <c r="BJ19" i="3"/>
  <c r="AJ20" i="3"/>
  <c r="AK20" i="3"/>
  <c r="AL20" i="3"/>
  <c r="AM20" i="3" a="1"/>
  <c r="AM20" i="3" s="1"/>
  <c r="AN20" i="3" a="1"/>
  <c r="AN20" i="3" s="1"/>
  <c r="AP20" i="3" a="1"/>
  <c r="AP20" i="3" s="1"/>
  <c r="AQ20" i="3" a="1"/>
  <c r="AQ20" i="3" s="1"/>
  <c r="AU20" i="3"/>
  <c r="AW20" i="3"/>
  <c r="AX20" i="3"/>
  <c r="AY20" i="3"/>
  <c r="AZ20" i="3"/>
  <c r="BB20" i="3"/>
  <c r="AI20" i="3" s="1"/>
  <c r="BD20" i="3"/>
  <c r="BE20" i="3"/>
  <c r="BF20" i="3"/>
  <c r="BG20" i="3"/>
  <c r="BH20" i="3"/>
  <c r="BJ20" i="3"/>
  <c r="AJ21" i="3"/>
  <c r="AK21" i="3"/>
  <c r="AL21" i="3"/>
  <c r="AM21" i="3" a="1"/>
  <c r="AM21" i="3" s="1"/>
  <c r="AN21" i="3" a="1"/>
  <c r="AN21" i="3" s="1"/>
  <c r="AP21" i="3" a="1"/>
  <c r="AP21" i="3" s="1"/>
  <c r="AQ21" i="3" a="1"/>
  <c r="AQ21" i="3" s="1"/>
  <c r="AU21" i="3"/>
  <c r="AW21" i="3"/>
  <c r="AX21" i="3"/>
  <c r="AY21" i="3"/>
  <c r="AZ21" i="3"/>
  <c r="BB21" i="3"/>
  <c r="AI21" i="3" s="1"/>
  <c r="BD21" i="3"/>
  <c r="BE21" i="3"/>
  <c r="BF21" i="3"/>
  <c r="BG21" i="3"/>
  <c r="BH21" i="3"/>
  <c r="BJ21" i="3"/>
  <c r="AJ22" i="3"/>
  <c r="AK22" i="3"/>
  <c r="AL22" i="3"/>
  <c r="AM22" i="3" a="1"/>
  <c r="AM22" i="3" s="1"/>
  <c r="AN22" i="3" a="1"/>
  <c r="AN22" i="3" s="1"/>
  <c r="AP22" i="3" a="1"/>
  <c r="AP22" i="3" s="1"/>
  <c r="AQ22" i="3" a="1"/>
  <c r="AQ22" i="3" s="1"/>
  <c r="AU22" i="3"/>
  <c r="AW22" i="3"/>
  <c r="AX22" i="3"/>
  <c r="AY22" i="3"/>
  <c r="AZ22" i="3"/>
  <c r="BB22" i="3"/>
  <c r="AI22" i="3" s="1"/>
  <c r="BD22" i="3"/>
  <c r="BE22" i="3"/>
  <c r="BF22" i="3"/>
  <c r="BG22" i="3"/>
  <c r="BH22" i="3"/>
  <c r="BJ22" i="3"/>
  <c r="AJ23" i="3"/>
  <c r="AK23" i="3"/>
  <c r="AL23" i="3"/>
  <c r="AM23" i="3" a="1"/>
  <c r="AM23" i="3" s="1"/>
  <c r="AN23" i="3" a="1"/>
  <c r="AN23" i="3" s="1"/>
  <c r="AP23" i="3" a="1"/>
  <c r="AP23" i="3" s="1"/>
  <c r="AQ23" i="3" a="1"/>
  <c r="AQ23" i="3" s="1"/>
  <c r="AU23" i="3"/>
  <c r="AW23" i="3"/>
  <c r="AX23" i="3"/>
  <c r="AY23" i="3"/>
  <c r="AZ23" i="3"/>
  <c r="BB23" i="3"/>
  <c r="AI23" i="3" s="1"/>
  <c r="BD23" i="3"/>
  <c r="BE23" i="3"/>
  <c r="BF23" i="3"/>
  <c r="BG23" i="3"/>
  <c r="BH23" i="3"/>
  <c r="BJ23" i="3"/>
  <c r="AJ24" i="3"/>
  <c r="AK24" i="3"/>
  <c r="AL24" i="3"/>
  <c r="AM24" i="3" a="1"/>
  <c r="AM24" i="3" s="1"/>
  <c r="AN24" i="3" a="1"/>
  <c r="AN24" i="3" s="1"/>
  <c r="AP24" i="3" a="1"/>
  <c r="AP24" i="3" s="1"/>
  <c r="AQ24" i="3" a="1"/>
  <c r="AQ24" i="3" s="1"/>
  <c r="AU24" i="3"/>
  <c r="AW24" i="3"/>
  <c r="AX24" i="3"/>
  <c r="AY24" i="3"/>
  <c r="AZ24" i="3"/>
  <c r="BB24" i="3"/>
  <c r="AI24" i="3" s="1"/>
  <c r="BD24" i="3"/>
  <c r="BE24" i="3"/>
  <c r="BF24" i="3"/>
  <c r="BG24" i="3"/>
  <c r="BH24" i="3"/>
  <c r="BJ24" i="3"/>
  <c r="AJ25" i="3"/>
  <c r="AK25" i="3"/>
  <c r="AL25" i="3"/>
  <c r="AM25" i="3" a="1"/>
  <c r="AM25" i="3" s="1"/>
  <c r="AN25" i="3" a="1"/>
  <c r="AN25" i="3" s="1"/>
  <c r="AO25" i="3" a="1"/>
  <c r="AO25" i="3" s="1"/>
  <c r="AP25" i="3" a="1"/>
  <c r="AP25" i="3" s="1"/>
  <c r="AQ25" i="3" a="1"/>
  <c r="AQ25" i="3" s="1"/>
  <c r="AU25" i="3"/>
  <c r="AW25" i="3"/>
  <c r="AX25" i="3"/>
  <c r="AY25" i="3"/>
  <c r="AZ25" i="3"/>
  <c r="BB25" i="3"/>
  <c r="AI25" i="3" s="1"/>
  <c r="BD25" i="3"/>
  <c r="BE25" i="3"/>
  <c r="BF25" i="3"/>
  <c r="BG25" i="3"/>
  <c r="BH25" i="3"/>
  <c r="BJ25" i="3"/>
  <c r="AJ26" i="3"/>
  <c r="AK26" i="3"/>
  <c r="AL26" i="3"/>
  <c r="AM26" i="3" a="1"/>
  <c r="AM26" i="3" s="1"/>
  <c r="AN26" i="3" a="1"/>
  <c r="AN26" i="3" s="1"/>
  <c r="AO26" i="3" a="1"/>
  <c r="AO26" i="3" s="1"/>
  <c r="AP26" i="3" a="1"/>
  <c r="AP26" i="3" s="1"/>
  <c r="AQ26" i="3" a="1"/>
  <c r="AQ26" i="3" s="1"/>
  <c r="AU26" i="3"/>
  <c r="AW26" i="3"/>
  <c r="AX26" i="3"/>
  <c r="AY26" i="3"/>
  <c r="AZ26" i="3"/>
  <c r="BB26" i="3"/>
  <c r="AI26" i="3" s="1"/>
  <c r="BD26" i="3"/>
  <c r="BE26" i="3"/>
  <c r="BF26" i="3"/>
  <c r="BG26" i="3"/>
  <c r="BH26" i="3"/>
  <c r="BJ26" i="3"/>
  <c r="AJ27" i="3"/>
  <c r="AK27" i="3"/>
  <c r="AL27" i="3"/>
  <c r="AM27" i="3" a="1"/>
  <c r="AM27" i="3" s="1"/>
  <c r="AN27" i="3" a="1"/>
  <c r="AN27" i="3" s="1"/>
  <c r="AO27" i="3" a="1"/>
  <c r="AO27" i="3" s="1"/>
  <c r="AP27" i="3" a="1"/>
  <c r="AP27" i="3" s="1"/>
  <c r="AQ27" i="3" a="1"/>
  <c r="AQ27" i="3" s="1"/>
  <c r="AU27" i="3"/>
  <c r="AW27" i="3"/>
  <c r="AX27" i="3"/>
  <c r="AY27" i="3"/>
  <c r="AZ27" i="3"/>
  <c r="BB27" i="3"/>
  <c r="AI27" i="3" s="1"/>
  <c r="BD27" i="3"/>
  <c r="BE27" i="3"/>
  <c r="BF27" i="3"/>
  <c r="BG27" i="3"/>
  <c r="BH27" i="3"/>
  <c r="BJ27" i="3"/>
  <c r="AJ28" i="3"/>
  <c r="AK28" i="3"/>
  <c r="AL28" i="3"/>
  <c r="AM28" i="3" a="1"/>
  <c r="AM28" i="3" s="1"/>
  <c r="AN28" i="3" a="1"/>
  <c r="AN28" i="3" s="1"/>
  <c r="AO28" i="3" a="1"/>
  <c r="AO28" i="3" s="1"/>
  <c r="AP28" i="3" a="1"/>
  <c r="AP28" i="3" s="1"/>
  <c r="AQ28" i="3" a="1"/>
  <c r="AQ28" i="3" s="1"/>
  <c r="AU28" i="3"/>
  <c r="AW28" i="3"/>
  <c r="AX28" i="3"/>
  <c r="AY28" i="3"/>
  <c r="AZ28" i="3"/>
  <c r="BB28" i="3"/>
  <c r="AI28" i="3" s="1"/>
  <c r="BD28" i="3"/>
  <c r="BE28" i="3"/>
  <c r="BF28" i="3"/>
  <c r="BG28" i="3"/>
  <c r="BH28" i="3"/>
  <c r="BJ28" i="3"/>
  <c r="AJ32" i="3"/>
  <c r="AK32" i="3"/>
  <c r="AL32" i="3"/>
  <c r="AM32" i="3" a="1"/>
  <c r="AM32" i="3" s="1"/>
  <c r="AN32" i="3" a="1"/>
  <c r="AN32" i="3" s="1"/>
  <c r="AO32" i="3" a="1"/>
  <c r="AO32" i="3" s="1"/>
  <c r="AP32" i="3" a="1"/>
  <c r="AP32" i="3" s="1"/>
  <c r="AQ32" i="3" a="1"/>
  <c r="AQ32" i="3" s="1"/>
  <c r="AR32" i="3" a="1"/>
  <c r="AR32" i="3" s="1"/>
  <c r="AW32" i="3"/>
  <c r="AX32" i="3"/>
  <c r="AY32" i="3"/>
  <c r="AZ32" i="3"/>
  <c r="BB32" i="3"/>
  <c r="BC32" i="3"/>
  <c r="BD32" i="3"/>
  <c r="BE32" i="3"/>
  <c r="BF32" i="3"/>
  <c r="BG32" i="3"/>
  <c r="BH32" i="3"/>
  <c r="BJ32" i="3"/>
  <c r="AJ33" i="3"/>
  <c r="AK33" i="3"/>
  <c r="AL33" i="3"/>
  <c r="AM33" i="3" a="1"/>
  <c r="AM33" i="3" s="1"/>
  <c r="AN33" i="3" a="1"/>
  <c r="AN33" i="3" s="1"/>
  <c r="AO33" i="3" a="1"/>
  <c r="AO33" i="3" s="1"/>
  <c r="AP33" i="3" a="1"/>
  <c r="AP33" i="3" s="1"/>
  <c r="AQ33" i="3" a="1"/>
  <c r="AQ33" i="3" s="1"/>
  <c r="AR33" i="3" a="1"/>
  <c r="AR33" i="3" s="1"/>
  <c r="AW33" i="3"/>
  <c r="AX33" i="3"/>
  <c r="AY33" i="3"/>
  <c r="AZ33" i="3"/>
  <c r="BB33" i="3"/>
  <c r="BC33" i="3"/>
  <c r="BD33" i="3"/>
  <c r="BE33" i="3"/>
  <c r="BF33" i="3"/>
  <c r="BG33" i="3"/>
  <c r="BH33" i="3"/>
  <c r="BJ33" i="3"/>
  <c r="AJ34" i="3"/>
  <c r="AK34" i="3"/>
  <c r="AL34" i="3"/>
  <c r="AM34" i="3" a="1"/>
  <c r="AM34" i="3" s="1"/>
  <c r="AN34" i="3" a="1"/>
  <c r="AN34" i="3" s="1"/>
  <c r="AO34" i="3" a="1"/>
  <c r="AO34" i="3" s="1"/>
  <c r="AP34" i="3" a="1"/>
  <c r="AP34" i="3" s="1"/>
  <c r="AQ34" i="3" a="1"/>
  <c r="AQ34" i="3" s="1"/>
  <c r="AR34" i="3" a="1"/>
  <c r="AR34" i="3" s="1"/>
  <c r="AW34" i="3"/>
  <c r="AX34" i="3"/>
  <c r="AY34" i="3"/>
  <c r="AZ34" i="3"/>
  <c r="BB34" i="3"/>
  <c r="BC34" i="3"/>
  <c r="BD34" i="3"/>
  <c r="BE34" i="3"/>
  <c r="BF34" i="3"/>
  <c r="BG34" i="3"/>
  <c r="BH34" i="3"/>
  <c r="BJ34" i="3"/>
  <c r="AJ35" i="3"/>
  <c r="AK35" i="3"/>
  <c r="AL35" i="3"/>
  <c r="AM35" i="3" a="1"/>
  <c r="AM35" i="3" s="1"/>
  <c r="AN35" i="3" a="1"/>
  <c r="AN35" i="3" s="1"/>
  <c r="AO35" i="3" a="1"/>
  <c r="AO35" i="3" s="1"/>
  <c r="AP35" i="3" a="1"/>
  <c r="AP35" i="3" s="1"/>
  <c r="AQ35" i="3" a="1"/>
  <c r="AQ35" i="3" s="1"/>
  <c r="AR35" i="3" a="1"/>
  <c r="AR35" i="3" s="1"/>
  <c r="AW35" i="3"/>
  <c r="AX35" i="3"/>
  <c r="AY35" i="3"/>
  <c r="AZ35" i="3"/>
  <c r="BB35" i="3"/>
  <c r="BC35" i="3"/>
  <c r="BD35" i="3"/>
  <c r="BE35" i="3"/>
  <c r="BF35" i="3"/>
  <c r="BG35" i="3"/>
  <c r="BH35" i="3"/>
  <c r="BJ35" i="3"/>
  <c r="AJ36" i="3"/>
  <c r="AK36" i="3"/>
  <c r="AL36" i="3"/>
  <c r="AM36" i="3" a="1"/>
  <c r="AM36" i="3" s="1"/>
  <c r="AN36" i="3" a="1"/>
  <c r="AN36" i="3" s="1"/>
  <c r="AO36" i="3" a="1"/>
  <c r="AO36" i="3" s="1"/>
  <c r="AP36" i="3" a="1"/>
  <c r="AP36" i="3" s="1"/>
  <c r="AQ36" i="3" a="1"/>
  <c r="AQ36" i="3" s="1"/>
  <c r="AR36" i="3" a="1"/>
  <c r="AR36" i="3" s="1"/>
  <c r="AW36" i="3"/>
  <c r="AX36" i="3"/>
  <c r="AY36" i="3"/>
  <c r="AZ36" i="3"/>
  <c r="BB36" i="3"/>
  <c r="BC36" i="3"/>
  <c r="BD36" i="3"/>
  <c r="BE36" i="3"/>
  <c r="BF36" i="3"/>
  <c r="BG36" i="3"/>
  <c r="BH36" i="3"/>
  <c r="BJ36" i="3"/>
  <c r="AJ37" i="3"/>
  <c r="AK37" i="3"/>
  <c r="AL37" i="3"/>
  <c r="AM37" i="3" a="1"/>
  <c r="AM37" i="3" s="1"/>
  <c r="AN37" i="3" a="1"/>
  <c r="AN37" i="3" s="1"/>
  <c r="AO37" i="3" a="1"/>
  <c r="AO37" i="3" s="1"/>
  <c r="AP37" i="3" a="1"/>
  <c r="AP37" i="3" s="1"/>
  <c r="AQ37" i="3" a="1"/>
  <c r="AQ37" i="3" s="1"/>
  <c r="AR37" i="3" a="1"/>
  <c r="AR37" i="3" s="1"/>
  <c r="AW37" i="3"/>
  <c r="AX37" i="3"/>
  <c r="AY37" i="3"/>
  <c r="AZ37" i="3"/>
  <c r="BB37" i="3"/>
  <c r="BC37" i="3"/>
  <c r="BD37" i="3"/>
  <c r="BE37" i="3"/>
  <c r="BF37" i="3"/>
  <c r="BG37" i="3"/>
  <c r="BH37" i="3"/>
  <c r="BJ37" i="3"/>
  <c r="AJ38" i="3"/>
  <c r="AK38" i="3"/>
  <c r="AL38" i="3"/>
  <c r="AM38" i="3" a="1"/>
  <c r="AM38" i="3" s="1"/>
  <c r="AN38" i="3" a="1"/>
  <c r="AN38" i="3" s="1"/>
  <c r="AO38" i="3" a="1"/>
  <c r="AO38" i="3" s="1"/>
  <c r="AP38" i="3" a="1"/>
  <c r="AP38" i="3" s="1"/>
  <c r="AQ38" i="3" a="1"/>
  <c r="AQ38" i="3" s="1"/>
  <c r="AR38" i="3" a="1"/>
  <c r="AR38" i="3" s="1"/>
  <c r="AW38" i="3"/>
  <c r="AX38" i="3"/>
  <c r="AY38" i="3"/>
  <c r="AZ38" i="3"/>
  <c r="BB38" i="3"/>
  <c r="BC38" i="3"/>
  <c r="BD38" i="3"/>
  <c r="BE38" i="3"/>
  <c r="BF38" i="3"/>
  <c r="BG38" i="3"/>
  <c r="BH38" i="3"/>
  <c r="BJ38" i="3"/>
  <c r="AJ39" i="3"/>
  <c r="AK39" i="3"/>
  <c r="AL39" i="3"/>
  <c r="AM39" i="3" a="1"/>
  <c r="AM39" i="3" s="1"/>
  <c r="AN39" i="3" a="1"/>
  <c r="AN39" i="3" s="1"/>
  <c r="AO39" i="3" a="1"/>
  <c r="AO39" i="3" s="1"/>
  <c r="AP39" i="3" a="1"/>
  <c r="AP39" i="3" s="1"/>
  <c r="AQ39" i="3" a="1"/>
  <c r="AQ39" i="3" s="1"/>
  <c r="AR39" i="3" a="1"/>
  <c r="AR39" i="3" s="1"/>
  <c r="AW39" i="3"/>
  <c r="AX39" i="3"/>
  <c r="AY39" i="3"/>
  <c r="AZ39" i="3"/>
  <c r="BB39" i="3"/>
  <c r="BC39" i="3"/>
  <c r="BD39" i="3"/>
  <c r="BE39" i="3"/>
  <c r="BF39" i="3"/>
  <c r="BG39" i="3"/>
  <c r="BH39" i="3"/>
  <c r="BJ39" i="3"/>
  <c r="AJ40" i="3"/>
  <c r="AK40" i="3"/>
  <c r="AL40" i="3"/>
  <c r="AM40" i="3" a="1"/>
  <c r="AM40" i="3" s="1"/>
  <c r="AN40" i="3" a="1"/>
  <c r="AN40" i="3" s="1"/>
  <c r="AO40" i="3" a="1"/>
  <c r="AO40" i="3" s="1"/>
  <c r="AP40" i="3" a="1"/>
  <c r="AP40" i="3" s="1"/>
  <c r="AQ40" i="3" a="1"/>
  <c r="AQ40" i="3" s="1"/>
  <c r="AR40" i="3" a="1"/>
  <c r="AR40" i="3" s="1"/>
  <c r="AW40" i="3"/>
  <c r="AX40" i="3"/>
  <c r="AY40" i="3"/>
  <c r="AZ40" i="3"/>
  <c r="BB40" i="3"/>
  <c r="BC40" i="3"/>
  <c r="BD40" i="3"/>
  <c r="BE40" i="3"/>
  <c r="BF40" i="3"/>
  <c r="BG40" i="3"/>
  <c r="BH40" i="3"/>
  <c r="BJ40" i="3"/>
  <c r="AJ41" i="3"/>
  <c r="AK41" i="3"/>
  <c r="AL41" i="3"/>
  <c r="AM41" i="3" a="1"/>
  <c r="AM41" i="3" s="1"/>
  <c r="AN41" i="3" a="1"/>
  <c r="AN41" i="3" s="1"/>
  <c r="AO41" i="3" a="1"/>
  <c r="AO41" i="3" s="1"/>
  <c r="AP41" i="3" a="1"/>
  <c r="AP41" i="3" s="1"/>
  <c r="AQ41" i="3" a="1"/>
  <c r="AQ41" i="3" s="1"/>
  <c r="AR41" i="3" a="1"/>
  <c r="AR41" i="3" s="1"/>
  <c r="AW41" i="3"/>
  <c r="AX41" i="3"/>
  <c r="AY41" i="3"/>
  <c r="AZ41" i="3"/>
  <c r="BB41" i="3"/>
  <c r="BC41" i="3"/>
  <c r="BD41" i="3"/>
  <c r="BE41" i="3"/>
  <c r="BF41" i="3"/>
  <c r="BG41" i="3"/>
  <c r="BH41" i="3"/>
  <c r="BJ41" i="3"/>
  <c r="AI45" i="3"/>
  <c r="AJ45" i="3"/>
  <c r="AK45" i="3"/>
  <c r="AL45" i="3"/>
  <c r="AM45" i="3" a="1"/>
  <c r="AM45" i="3" s="1"/>
  <c r="AN45" i="3" a="1"/>
  <c r="AN45" i="3" s="1"/>
  <c r="AO45" i="3" a="1"/>
  <c r="AO45" i="3" s="1"/>
  <c r="AP45" i="3" a="1"/>
  <c r="AP45" i="3" s="1"/>
  <c r="AQ45" i="3" a="1"/>
  <c r="AQ45" i="3" s="1"/>
  <c r="AU45" i="3"/>
  <c r="AW45" i="3"/>
  <c r="AX45" i="3"/>
  <c r="AY45" i="3"/>
  <c r="AZ45" i="3"/>
  <c r="BB45" i="3"/>
  <c r="BD45" i="3"/>
  <c r="BE45" i="3"/>
  <c r="BF45" i="3"/>
  <c r="BG45" i="3"/>
  <c r="BH45" i="3"/>
  <c r="BJ45" i="3"/>
  <c r="AI46" i="3"/>
  <c r="AJ46" i="3"/>
  <c r="AK46" i="3"/>
  <c r="AL46" i="3"/>
  <c r="AM46" i="3" a="1"/>
  <c r="AM46" i="3" s="1"/>
  <c r="AN46" i="3" a="1"/>
  <c r="AN46" i="3" s="1"/>
  <c r="AO46" i="3" a="1"/>
  <c r="AO46" i="3" s="1"/>
  <c r="AP46" i="3" a="1"/>
  <c r="AP46" i="3" s="1"/>
  <c r="AQ46" i="3" a="1"/>
  <c r="AQ46" i="3" s="1"/>
  <c r="AU46" i="3"/>
  <c r="AW46" i="3"/>
  <c r="AX46" i="3"/>
  <c r="AY46" i="3"/>
  <c r="AZ46" i="3"/>
  <c r="BB46" i="3"/>
  <c r="BD46" i="3"/>
  <c r="BE46" i="3"/>
  <c r="BF46" i="3"/>
  <c r="BG46" i="3"/>
  <c r="BH46" i="3"/>
  <c r="BJ46" i="3"/>
  <c r="AI47" i="3"/>
  <c r="AJ47" i="3"/>
  <c r="AK47" i="3"/>
  <c r="AL47" i="3"/>
  <c r="AM47" i="3" a="1"/>
  <c r="AM47" i="3" s="1"/>
  <c r="AN47" i="3" a="1"/>
  <c r="AN47" i="3" s="1"/>
  <c r="AO47" i="3" a="1"/>
  <c r="AO47" i="3" s="1"/>
  <c r="AP47" i="3" a="1"/>
  <c r="AP47" i="3" s="1"/>
  <c r="AQ47" i="3" a="1"/>
  <c r="AQ47" i="3" s="1"/>
  <c r="AU47" i="3"/>
  <c r="AW47" i="3"/>
  <c r="AX47" i="3"/>
  <c r="AY47" i="3"/>
  <c r="AZ47" i="3"/>
  <c r="BB47" i="3"/>
  <c r="BD47" i="3"/>
  <c r="BE47" i="3"/>
  <c r="BF47" i="3"/>
  <c r="BG47" i="3"/>
  <c r="BH47" i="3"/>
  <c r="BJ47" i="3"/>
  <c r="AI48" i="3"/>
  <c r="AJ48" i="3"/>
  <c r="AK48" i="3"/>
  <c r="AL48" i="3"/>
  <c r="AM48" i="3" a="1"/>
  <c r="AM48" i="3" s="1"/>
  <c r="AN48" i="3" a="1"/>
  <c r="AN48" i="3" s="1"/>
  <c r="AO48" i="3" a="1"/>
  <c r="AO48" i="3" s="1"/>
  <c r="AP48" i="3" a="1"/>
  <c r="AP48" i="3" s="1"/>
  <c r="AQ48" i="3" a="1"/>
  <c r="AQ48" i="3" s="1"/>
  <c r="AU48" i="3"/>
  <c r="AW48" i="3"/>
  <c r="AX48" i="3"/>
  <c r="AY48" i="3"/>
  <c r="AZ48" i="3"/>
  <c r="BB48" i="3"/>
  <c r="BD48" i="3"/>
  <c r="BE48" i="3"/>
  <c r="BF48" i="3"/>
  <c r="BG48" i="3"/>
  <c r="BH48" i="3"/>
  <c r="BJ48" i="3"/>
  <c r="AI49" i="3"/>
  <c r="AJ49" i="3"/>
  <c r="AK49" i="3"/>
  <c r="AL49" i="3"/>
  <c r="AM49" i="3" a="1"/>
  <c r="AM49" i="3" s="1"/>
  <c r="AN49" i="3" a="1"/>
  <c r="AN49" i="3" s="1"/>
  <c r="AO49" i="3" a="1"/>
  <c r="AO49" i="3" s="1"/>
  <c r="AP49" i="3" a="1"/>
  <c r="AP49" i="3" s="1"/>
  <c r="AQ49" i="3" a="1"/>
  <c r="AQ49" i="3" s="1"/>
  <c r="AU49" i="3"/>
  <c r="AW49" i="3"/>
  <c r="AX49" i="3"/>
  <c r="AY49" i="3"/>
  <c r="AZ49" i="3"/>
  <c r="BB49" i="3"/>
  <c r="BD49" i="3"/>
  <c r="BE49" i="3"/>
  <c r="BF49" i="3"/>
  <c r="BG49" i="3"/>
  <c r="BH49" i="3"/>
  <c r="BJ49" i="3"/>
  <c r="AI50" i="3"/>
  <c r="AJ50" i="3"/>
  <c r="AK50" i="3"/>
  <c r="AL50" i="3"/>
  <c r="AM50" i="3" a="1"/>
  <c r="AM50" i="3" s="1"/>
  <c r="AN50" i="3" a="1"/>
  <c r="AN50" i="3" s="1"/>
  <c r="AO50" i="3" a="1"/>
  <c r="AO50" i="3" s="1"/>
  <c r="AP50" i="3" a="1"/>
  <c r="AP50" i="3" s="1"/>
  <c r="AQ50" i="3" a="1"/>
  <c r="AQ50" i="3" s="1"/>
  <c r="AU50" i="3"/>
  <c r="AW50" i="3"/>
  <c r="AX50" i="3"/>
  <c r="AY50" i="3"/>
  <c r="AZ50" i="3"/>
  <c r="BB50" i="3"/>
  <c r="BD50" i="3"/>
  <c r="BE50" i="3"/>
  <c r="BF50" i="3"/>
  <c r="BG50" i="3"/>
  <c r="BH50" i="3"/>
  <c r="BJ50" i="3"/>
  <c r="AI51" i="3"/>
  <c r="AJ51" i="3"/>
  <c r="AK51" i="3"/>
  <c r="AL51" i="3"/>
  <c r="AM51" i="3" a="1"/>
  <c r="AM51" i="3" s="1"/>
  <c r="AN51" i="3" a="1"/>
  <c r="AN51" i="3" s="1"/>
  <c r="AO51" i="3" a="1"/>
  <c r="AO51" i="3" s="1"/>
  <c r="AP51" i="3" a="1"/>
  <c r="AP51" i="3" s="1"/>
  <c r="AQ51" i="3" a="1"/>
  <c r="AQ51" i="3" s="1"/>
  <c r="AU51" i="3"/>
  <c r="AW51" i="3"/>
  <c r="AX51" i="3"/>
  <c r="AY51" i="3"/>
  <c r="AZ51" i="3"/>
  <c r="BB51" i="3"/>
  <c r="BD51" i="3"/>
  <c r="BE51" i="3"/>
  <c r="BF51" i="3"/>
  <c r="BG51" i="3"/>
  <c r="BH51" i="3"/>
  <c r="BJ51" i="3"/>
  <c r="AI52" i="3"/>
  <c r="AJ52" i="3"/>
  <c r="AK52" i="3"/>
  <c r="AL52" i="3"/>
  <c r="AM52" i="3" a="1"/>
  <c r="AM52" i="3" s="1"/>
  <c r="AN52" i="3" a="1"/>
  <c r="AN52" i="3" s="1"/>
  <c r="AO52" i="3" a="1"/>
  <c r="AO52" i="3" s="1"/>
  <c r="AP52" i="3" a="1"/>
  <c r="AP52" i="3" s="1"/>
  <c r="AQ52" i="3" a="1"/>
  <c r="AQ52" i="3" s="1"/>
  <c r="AU52" i="3"/>
  <c r="AW52" i="3"/>
  <c r="AX52" i="3"/>
  <c r="AY52" i="3"/>
  <c r="AZ52" i="3"/>
  <c r="BB52" i="3"/>
  <c r="BD52" i="3"/>
  <c r="BE52" i="3"/>
  <c r="BF52" i="3"/>
  <c r="BG52" i="3"/>
  <c r="BH52" i="3"/>
  <c r="BJ52" i="3"/>
  <c r="AI53" i="3"/>
  <c r="AJ53" i="3"/>
  <c r="AK53" i="3"/>
  <c r="AL53" i="3"/>
  <c r="AM53" i="3" a="1"/>
  <c r="AM53" i="3" s="1"/>
  <c r="AN53" i="3" a="1"/>
  <c r="AN53" i="3" s="1"/>
  <c r="AO53" i="3" a="1"/>
  <c r="AO53" i="3" s="1"/>
  <c r="AP53" i="3" a="1"/>
  <c r="AP53" i="3" s="1"/>
  <c r="AQ53" i="3" a="1"/>
  <c r="AQ53" i="3" s="1"/>
  <c r="AU53" i="3"/>
  <c r="AW53" i="3"/>
  <c r="AX53" i="3"/>
  <c r="AY53" i="3"/>
  <c r="AZ53" i="3"/>
  <c r="BB53" i="3"/>
  <c r="BD53" i="3"/>
  <c r="BE53" i="3"/>
  <c r="BF53" i="3"/>
  <c r="BG53" i="3"/>
  <c r="BH53" i="3"/>
  <c r="BJ53" i="3"/>
  <c r="AI54" i="3"/>
  <c r="AJ54" i="3"/>
  <c r="AK54" i="3"/>
  <c r="AL54" i="3"/>
  <c r="AM54" i="3" a="1"/>
  <c r="AM54" i="3" s="1"/>
  <c r="AN54" i="3" a="1"/>
  <c r="AN54" i="3" s="1"/>
  <c r="AO54" i="3" a="1"/>
  <c r="AO54" i="3" s="1"/>
  <c r="AP54" i="3" a="1"/>
  <c r="AP54" i="3" s="1"/>
  <c r="AQ54" i="3" a="1"/>
  <c r="AQ54" i="3" s="1"/>
  <c r="AU54" i="3"/>
  <c r="AW54" i="3"/>
  <c r="AX54" i="3"/>
  <c r="AY54" i="3"/>
  <c r="AZ54" i="3"/>
  <c r="BB54" i="3"/>
  <c r="BD54" i="3"/>
  <c r="BE54" i="3"/>
  <c r="BF54" i="3"/>
  <c r="BG54" i="3"/>
  <c r="BH54" i="3"/>
  <c r="BJ54" i="3"/>
  <c r="BT5" i="3"/>
  <c r="BT6" i="3"/>
  <c r="BT7" i="3"/>
  <c r="AO8" i="3" s="1" a="1"/>
  <c r="AO8" i="3" s="1"/>
  <c r="BT8" i="3"/>
  <c r="BT9" i="3"/>
  <c r="BT10" i="3"/>
  <c r="BT11" i="3"/>
  <c r="BT12" i="3"/>
  <c r="BT13" i="3"/>
  <c r="BT14" i="3"/>
  <c r="BT15" i="3"/>
  <c r="BT16" i="3"/>
  <c r="BT17" i="3"/>
  <c r="BT18" i="3"/>
  <c r="BT19" i="3"/>
  <c r="BT20" i="3"/>
  <c r="BT21" i="3"/>
  <c r="AO19" i="3" s="1" a="1"/>
  <c r="AO19" i="3" s="1"/>
  <c r="BT22" i="3"/>
  <c r="AO20" i="3" s="1" a="1"/>
  <c r="AO20" i="3" s="1"/>
  <c r="BT23" i="3"/>
  <c r="AO21" i="3" s="1" a="1"/>
  <c r="AO21" i="3" s="1"/>
  <c r="BT24" i="3"/>
  <c r="AO22" i="3" s="1" a="1"/>
  <c r="AO22" i="3" s="1"/>
  <c r="BT27" i="3"/>
  <c r="BT28" i="3"/>
  <c r="BT29" i="3"/>
  <c r="AO24" i="3" s="1" a="1"/>
  <c r="AO24" i="3" s="1"/>
  <c r="BT30" i="3"/>
  <c r="AO6" i="3" l="1" a="1"/>
  <c r="AO6" i="3" s="1"/>
  <c r="AO9" i="3" a="1"/>
  <c r="AO9" i="3" s="1"/>
  <c r="AO7" i="3" a="1"/>
  <c r="AO7" i="3" s="1"/>
  <c r="BA45" i="3"/>
  <c r="BA13" i="3"/>
  <c r="BA54" i="3"/>
  <c r="BA53" i="3"/>
  <c r="BA51" i="3"/>
  <c r="BA49" i="3"/>
  <c r="BA47" i="3"/>
  <c r="BA41" i="3"/>
  <c r="BA39" i="3"/>
  <c r="BA37" i="3"/>
  <c r="BA35" i="3"/>
  <c r="BA33" i="3"/>
  <c r="BA23" i="3"/>
  <c r="BA21" i="3"/>
  <c r="BA19" i="3"/>
  <c r="BA15" i="3"/>
  <c r="BA14" i="3"/>
  <c r="BA12" i="3"/>
  <c r="BA11" i="3"/>
  <c r="BA10" i="3"/>
  <c r="BA9" i="3"/>
  <c r="BA8" i="3"/>
  <c r="BA7" i="3"/>
  <c r="BA6" i="3"/>
  <c r="BA52" i="3"/>
  <c r="BA50" i="3"/>
  <c r="BA48" i="3"/>
  <c r="BA46" i="3"/>
  <c r="BA40" i="3"/>
  <c r="BA38" i="3"/>
  <c r="BA36" i="3"/>
  <c r="BA34" i="3"/>
  <c r="BA32" i="3"/>
  <c r="BA28" i="3"/>
  <c r="BA27" i="3"/>
  <c r="BA26" i="3"/>
  <c r="BA25" i="3"/>
  <c r="BA24" i="3"/>
  <c r="BA22" i="3"/>
  <c r="BA20" i="3"/>
  <c r="AI41" i="3"/>
  <c r="AI39" i="3"/>
  <c r="AI37" i="3"/>
  <c r="AI36" i="3"/>
  <c r="AI34" i="3"/>
  <c r="AI40" i="3"/>
  <c r="AI38" i="3"/>
  <c r="AI33" i="3"/>
  <c r="AI32" i="3"/>
  <c r="AO14" i="3" a="1"/>
  <c r="AO14" i="3" s="1"/>
  <c r="AO15" i="3" a="1"/>
  <c r="AO15" i="3" s="1"/>
  <c r="AO12" i="3" a="1"/>
  <c r="AO12" i="3" s="1"/>
  <c r="AO13" i="3" a="1"/>
  <c r="AO13" i="3" s="1"/>
  <c r="AO10" i="3" a="1"/>
  <c r="AO10" i="3" s="1"/>
  <c r="AO11" i="3" a="1"/>
  <c r="AO11" i="3" s="1"/>
  <c r="AI35" i="3"/>
  <c r="AO23" i="3" a="1"/>
  <c r="AO23" i="3" s="1"/>
  <c r="AH19" i="3" l="1"/>
  <c r="V19" i="3" s="1"/>
  <c r="AB19" i="3" s="1"/>
  <c r="BI19" i="3"/>
  <c r="BL19" i="3" s="1"/>
  <c r="Z19" i="3" s="1"/>
  <c r="BI54" i="3"/>
  <c r="BL54" i="3" s="1"/>
  <c r="Z54" i="3" s="1"/>
  <c r="AH54" i="3"/>
  <c r="V54" i="3" s="1"/>
  <c r="AB54" i="3" s="1"/>
  <c r="AH46" i="3"/>
  <c r="V46" i="3" s="1"/>
  <c r="AB46" i="3" s="1"/>
  <c r="BI46" i="3"/>
  <c r="BL46" i="3" s="1"/>
  <c r="Z46" i="3" s="1"/>
  <c r="BI50" i="3"/>
  <c r="BL50" i="3" s="1"/>
  <c r="Z50" i="3" s="1"/>
  <c r="AH50" i="3"/>
  <c r="V50" i="3" s="1"/>
  <c r="AB50" i="3" s="1"/>
  <c r="BI48" i="3"/>
  <c r="BL48" i="3" s="1"/>
  <c r="Z48" i="3" s="1"/>
  <c r="AH48" i="3"/>
  <c r="V48" i="3" s="1"/>
  <c r="AB48" i="3" s="1"/>
  <c r="BI8" i="3"/>
  <c r="BL8" i="3" s="1"/>
  <c r="Z8" i="3" s="1"/>
  <c r="AH8" i="3"/>
  <c r="V8" i="3" s="1"/>
  <c r="AB8" i="3" s="1"/>
  <c r="BI10" i="3"/>
  <c r="BL10" i="3" s="1"/>
  <c r="Z10" i="3" s="1"/>
  <c r="AH10" i="3"/>
  <c r="V10" i="3" s="1"/>
  <c r="AB10" i="3" s="1"/>
  <c r="BI12" i="3"/>
  <c r="BL12" i="3" s="1"/>
  <c r="Z12" i="3" s="1"/>
  <c r="AH12" i="3"/>
  <c r="V12" i="3" s="1"/>
  <c r="AB12" i="3" s="1"/>
  <c r="BI14" i="3"/>
  <c r="BL14" i="3" s="1"/>
  <c r="Z14" i="3" s="1"/>
  <c r="AH14" i="3"/>
  <c r="V14" i="3" s="1"/>
  <c r="AB14" i="3" s="1"/>
  <c r="BI6" i="3"/>
  <c r="BL6" i="3" s="1"/>
  <c r="Z6" i="3" s="1"/>
  <c r="AH6" i="3"/>
  <c r="V6" i="3" s="1"/>
  <c r="AB6" i="3" s="1"/>
  <c r="BI26" i="3"/>
  <c r="BL26" i="3" s="1"/>
  <c r="Z26" i="3" s="1"/>
  <c r="AH26" i="3"/>
  <c r="V26" i="3" s="1"/>
  <c r="AB26" i="3" s="1"/>
  <c r="BI35" i="3"/>
  <c r="BL35" i="3" s="1"/>
  <c r="Z35" i="3" s="1"/>
  <c r="AH35" i="3"/>
  <c r="V35" i="3" s="1"/>
  <c r="AB35" i="3" s="1"/>
  <c r="BI38" i="3"/>
  <c r="BL38" i="3" s="1"/>
  <c r="Z38" i="3" s="1"/>
  <c r="AH38" i="3"/>
  <c r="V38" i="3" s="1"/>
  <c r="AB38" i="3" s="1"/>
  <c r="BI47" i="3"/>
  <c r="BL47" i="3" s="1"/>
  <c r="Z47" i="3" s="1"/>
  <c r="AH47" i="3"/>
  <c r="V47" i="3" s="1"/>
  <c r="AB47" i="3" s="1"/>
  <c r="BI33" i="3"/>
  <c r="BL33" i="3" s="1"/>
  <c r="Z33" i="3" s="1"/>
  <c r="AH33" i="3"/>
  <c r="V33" i="3" s="1"/>
  <c r="AB33" i="3" s="1"/>
  <c r="BI53" i="3"/>
  <c r="BL53" i="3" s="1"/>
  <c r="Z53" i="3" s="1"/>
  <c r="AH53" i="3"/>
  <c r="V53" i="3" s="1"/>
  <c r="AB53" i="3" s="1"/>
  <c r="AH23" i="3"/>
  <c r="V23" i="3" s="1"/>
  <c r="AB23" i="3" s="1"/>
  <c r="BI23" i="3"/>
  <c r="BL23" i="3" s="1"/>
  <c r="Z23" i="3" s="1"/>
  <c r="BI52" i="3"/>
  <c r="BL52" i="3" s="1"/>
  <c r="Z52" i="3" s="1"/>
  <c r="AH52" i="3"/>
  <c r="V52" i="3" s="1"/>
  <c r="AB52" i="3" s="1"/>
  <c r="BI7" i="3"/>
  <c r="BL7" i="3" s="1"/>
  <c r="Z7" i="3" s="1"/>
  <c r="AH7" i="3"/>
  <c r="V7" i="3" s="1"/>
  <c r="AB7" i="3" s="1"/>
  <c r="BI9" i="3"/>
  <c r="BL9" i="3" s="1"/>
  <c r="Z9" i="3" s="1"/>
  <c r="AH9" i="3"/>
  <c r="V9" i="3" s="1"/>
  <c r="AB9" i="3" s="1"/>
  <c r="BI11" i="3"/>
  <c r="BL11" i="3" s="1"/>
  <c r="Z11" i="3" s="1"/>
  <c r="AH11" i="3"/>
  <c r="V11" i="3" s="1"/>
  <c r="AB11" i="3" s="1"/>
  <c r="BI13" i="3"/>
  <c r="BL13" i="3" s="1"/>
  <c r="Z13" i="3" s="1"/>
  <c r="AH13" i="3"/>
  <c r="V13" i="3" s="1"/>
  <c r="AB13" i="3" s="1"/>
  <c r="BI15" i="3"/>
  <c r="BL15" i="3" s="1"/>
  <c r="Z15" i="3" s="1"/>
  <c r="AH15" i="3"/>
  <c r="V15" i="3" s="1"/>
  <c r="AB15" i="3" s="1"/>
  <c r="BI20" i="3"/>
  <c r="BL20" i="3" s="1"/>
  <c r="Z20" i="3" s="1"/>
  <c r="AH20" i="3"/>
  <c r="V20" i="3" s="1"/>
  <c r="AB20" i="3" s="1"/>
  <c r="BI22" i="3"/>
  <c r="BL22" i="3" s="1"/>
  <c r="Z22" i="3" s="1"/>
  <c r="AH22" i="3"/>
  <c r="V22" i="3" s="1"/>
  <c r="AB22" i="3" s="1"/>
  <c r="BI28" i="3"/>
  <c r="BL28" i="3" s="1"/>
  <c r="Z28" i="3" s="1"/>
  <c r="AH28" i="3"/>
  <c r="V28" i="3" s="1"/>
  <c r="AB28" i="3" s="1"/>
  <c r="BI24" i="3"/>
  <c r="BL24" i="3" s="1"/>
  <c r="Z24" i="3" s="1"/>
  <c r="AH24" i="3"/>
  <c r="V24" i="3" s="1"/>
  <c r="AB24" i="3" s="1"/>
  <c r="BI37" i="3"/>
  <c r="BL37" i="3" s="1"/>
  <c r="Z37" i="3" s="1"/>
  <c r="AH37" i="3"/>
  <c r="V37" i="3" s="1"/>
  <c r="AB37" i="3" s="1"/>
  <c r="BI40" i="3"/>
  <c r="BL40" i="3" s="1"/>
  <c r="Z40" i="3" s="1"/>
  <c r="AH40" i="3"/>
  <c r="V40" i="3" s="1"/>
  <c r="AB40" i="3" s="1"/>
  <c r="BI49" i="3"/>
  <c r="BL49" i="3" s="1"/>
  <c r="Z49" i="3" s="1"/>
  <c r="AH49" i="3"/>
  <c r="V49" i="3" s="1"/>
  <c r="AB49" i="3" s="1"/>
  <c r="BI51" i="3"/>
  <c r="BL51" i="3" s="1"/>
  <c r="Z51" i="3" s="1"/>
  <c r="AH51" i="3"/>
  <c r="V51" i="3" s="1"/>
  <c r="AB51" i="3" s="1"/>
  <c r="BI39" i="3"/>
  <c r="BL39" i="3" s="1"/>
  <c r="Z39" i="3" s="1"/>
  <c r="AH39" i="3"/>
  <c r="V39" i="3" s="1"/>
  <c r="AB39" i="3" s="1"/>
  <c r="BI45" i="3"/>
  <c r="BL45" i="3" s="1"/>
  <c r="Z45" i="3" s="1"/>
  <c r="AH45" i="3"/>
  <c r="V45" i="3" s="1"/>
  <c r="AB45" i="3" s="1"/>
  <c r="BI36" i="3"/>
  <c r="BL36" i="3" s="1"/>
  <c r="Z36" i="3" s="1"/>
  <c r="AH36" i="3"/>
  <c r="V36" i="3" s="1"/>
  <c r="AB36" i="3" s="1"/>
  <c r="AH21" i="3"/>
  <c r="V21" i="3" s="1"/>
  <c r="AB21" i="3" s="1"/>
  <c r="BI32" i="3"/>
  <c r="BL32" i="3" s="1"/>
  <c r="Z32" i="3" s="1"/>
  <c r="AH32" i="3"/>
  <c r="V32" i="3" s="1"/>
  <c r="AB32" i="3" s="1"/>
  <c r="BI41" i="3"/>
  <c r="BL41" i="3" s="1"/>
  <c r="Z41" i="3" s="1"/>
  <c r="AH41" i="3"/>
  <c r="V41" i="3" s="1"/>
  <c r="AB41" i="3" s="1"/>
  <c r="BI25" i="3"/>
  <c r="BL25" i="3" s="1"/>
  <c r="Z25" i="3" s="1"/>
  <c r="AH25" i="3"/>
  <c r="V25" i="3" s="1"/>
  <c r="AB25" i="3" s="1"/>
  <c r="AH34" i="3"/>
  <c r="V34" i="3" s="1"/>
  <c r="AB34" i="3" s="1"/>
  <c r="BI34" i="3"/>
  <c r="BL34" i="3" s="1"/>
  <c r="Z34" i="3" s="1"/>
  <c r="BI27" i="3"/>
  <c r="BL27" i="3" s="1"/>
  <c r="Z27" i="3" s="1"/>
  <c r="AH27" i="3"/>
  <c r="V27" i="3" s="1"/>
  <c r="AB27" i="3" s="1"/>
  <c r="BI21" i="3"/>
  <c r="BL21" i="3" s="1"/>
  <c r="Z21" i="3" s="1"/>
  <c r="AS34" i="3" l="1"/>
  <c r="BK34" i="3" s="1"/>
  <c r="AT34" i="3" s="1"/>
  <c r="AS36" i="3"/>
  <c r="BK36" i="3" s="1"/>
  <c r="AT36" i="3" s="1"/>
  <c r="AS45" i="3"/>
  <c r="BK45" i="3" s="1"/>
  <c r="AT45" i="3" s="1"/>
  <c r="AS53" i="3"/>
  <c r="BK53" i="3" s="1"/>
  <c r="AT53" i="3" s="1"/>
  <c r="AS47" i="3"/>
  <c r="BK47" i="3" s="1"/>
  <c r="AT47" i="3" s="1"/>
  <c r="AS41" i="3"/>
  <c r="BK41" i="3" s="1"/>
  <c r="AT41" i="3" s="1"/>
  <c r="AS28" i="3"/>
  <c r="BK28" i="3" s="1"/>
  <c r="AT28" i="3" s="1"/>
  <c r="AV28" i="3" s="1"/>
  <c r="W28" i="3" s="1"/>
  <c r="AC28" i="3" s="1"/>
  <c r="AS22" i="3"/>
  <c r="BK22" i="3" s="1"/>
  <c r="AT22" i="3" s="1"/>
  <c r="AV22" i="3" s="1"/>
  <c r="W22" i="3" s="1"/>
  <c r="AC22" i="3" s="1"/>
  <c r="AS10" i="3"/>
  <c r="BK10" i="3" s="1"/>
  <c r="AT10" i="3" s="1"/>
  <c r="AV10" i="3" s="1"/>
  <c r="W10" i="3" s="1"/>
  <c r="AB57" i="3"/>
  <c r="V2" i="3" s="1"/>
  <c r="AS52" i="3"/>
  <c r="BK52" i="3" s="1"/>
  <c r="AT52" i="3" s="1"/>
  <c r="AS32" i="3"/>
  <c r="BK32" i="3" s="1"/>
  <c r="AT32" i="3" s="1"/>
  <c r="AS39" i="3"/>
  <c r="BK39" i="3" s="1"/>
  <c r="AT39" i="3" s="1"/>
  <c r="AS51" i="3"/>
  <c r="BK51" i="3" s="1"/>
  <c r="AT51" i="3" s="1"/>
  <c r="AS20" i="3"/>
  <c r="BK20" i="3" s="1"/>
  <c r="AT20" i="3" s="1"/>
  <c r="AV20" i="3" s="1"/>
  <c r="W20" i="3" s="1"/>
  <c r="AS15" i="3"/>
  <c r="BK15" i="3" s="1"/>
  <c r="AT15" i="3" s="1"/>
  <c r="AV15" i="3" s="1"/>
  <c r="W15" i="3" s="1"/>
  <c r="AS38" i="3"/>
  <c r="BK38" i="3" s="1"/>
  <c r="AT38" i="3" s="1"/>
  <c r="AS14" i="3"/>
  <c r="BK14" i="3" s="1"/>
  <c r="AT14" i="3" s="1"/>
  <c r="AV14" i="3" s="1"/>
  <c r="W14" i="3" s="1"/>
  <c r="AS48" i="3"/>
  <c r="BK48" i="3" s="1"/>
  <c r="AT48" i="3" s="1"/>
  <c r="AS46" i="3"/>
  <c r="BK46" i="3" s="1"/>
  <c r="AT46" i="3" s="1"/>
  <c r="AS25" i="3"/>
  <c r="BK25" i="3" s="1"/>
  <c r="AT25" i="3" s="1"/>
  <c r="AV25" i="3" s="1"/>
  <c r="W25" i="3" s="1"/>
  <c r="AS37" i="3"/>
  <c r="BK37" i="3" s="1"/>
  <c r="AT37" i="3" s="1"/>
  <c r="AS24" i="3"/>
  <c r="BK24" i="3" s="1"/>
  <c r="AT24" i="3" s="1"/>
  <c r="AV24" i="3" s="1"/>
  <c r="W24" i="3" s="1"/>
  <c r="AS9" i="3"/>
  <c r="BK9" i="3" s="1"/>
  <c r="AT9" i="3" s="1"/>
  <c r="AV9" i="3" s="1"/>
  <c r="W9" i="3" s="1"/>
  <c r="AS7" i="3"/>
  <c r="BK7" i="3" s="1"/>
  <c r="AT7" i="3" s="1"/>
  <c r="AV7" i="3" s="1"/>
  <c r="W7" i="3" s="1"/>
  <c r="AS23" i="3"/>
  <c r="BK23" i="3" s="1"/>
  <c r="AT23" i="3" s="1"/>
  <c r="AV23" i="3" s="1"/>
  <c r="W23" i="3" s="1"/>
  <c r="AS33" i="3"/>
  <c r="BK33" i="3" s="1"/>
  <c r="AT33" i="3" s="1"/>
  <c r="AS35" i="3"/>
  <c r="BK35" i="3" s="1"/>
  <c r="AT35" i="3" s="1"/>
  <c r="AS12" i="3"/>
  <c r="BK12" i="3" s="1"/>
  <c r="AT12" i="3" s="1"/>
  <c r="AV12" i="3" s="1"/>
  <c r="W12" i="3" s="1"/>
  <c r="AS54" i="3"/>
  <c r="BK54" i="3" s="1"/>
  <c r="AT54" i="3" s="1"/>
  <c r="AS19" i="3"/>
  <c r="BK19" i="3" s="1"/>
  <c r="AT19" i="3" s="1"/>
  <c r="AV19" i="3" s="1"/>
  <c r="W19" i="3" s="1"/>
  <c r="AS27" i="3"/>
  <c r="BK27" i="3" s="1"/>
  <c r="AT27" i="3" s="1"/>
  <c r="AV27" i="3" s="1"/>
  <c r="W27" i="3" s="1"/>
  <c r="AS21" i="3"/>
  <c r="BK21" i="3" s="1"/>
  <c r="AT21" i="3" s="1"/>
  <c r="AV21" i="3" s="1"/>
  <c r="W21" i="3" s="1"/>
  <c r="AS49" i="3"/>
  <c r="BK49" i="3" s="1"/>
  <c r="AT49" i="3" s="1"/>
  <c r="AS40" i="3"/>
  <c r="BK40" i="3" s="1"/>
  <c r="AT40" i="3" s="1"/>
  <c r="AS13" i="3"/>
  <c r="BK13" i="3" s="1"/>
  <c r="AT13" i="3" s="1"/>
  <c r="AV13" i="3" s="1"/>
  <c r="W13" i="3" s="1"/>
  <c r="AS11" i="3"/>
  <c r="BK11" i="3" s="1"/>
  <c r="AT11" i="3" s="1"/>
  <c r="AV11" i="3" s="1"/>
  <c r="W11" i="3" s="1"/>
  <c r="AS50" i="3"/>
  <c r="BK50" i="3" s="1"/>
  <c r="AT50" i="3" s="1"/>
  <c r="AS26" i="3"/>
  <c r="BK26" i="3" s="1"/>
  <c r="AT26" i="3" s="1"/>
  <c r="AV26" i="3" s="1"/>
  <c r="W26" i="3" s="1"/>
  <c r="AS6" i="3"/>
  <c r="BK6" i="3" s="1"/>
  <c r="AT6" i="3" s="1"/>
  <c r="AV6" i="3" s="1"/>
  <c r="W6" i="3" s="1"/>
  <c r="AC6" i="3" s="1"/>
  <c r="AS8" i="3"/>
  <c r="BK8" i="3" s="1"/>
  <c r="AT8" i="3" s="1"/>
  <c r="AV8" i="3" s="1"/>
  <c r="W8" i="3" s="1"/>
  <c r="X22" i="3" l="1"/>
  <c r="AD22" i="3" s="1"/>
  <c r="X28" i="3"/>
  <c r="AD28" i="3" s="1"/>
  <c r="Y26" i="3"/>
  <c r="AC26" i="3"/>
  <c r="Y11" i="3"/>
  <c r="AC11" i="3"/>
  <c r="Y21" i="3"/>
  <c r="AC21" i="3"/>
  <c r="Y19" i="3"/>
  <c r="AC19" i="3"/>
  <c r="Y12" i="3"/>
  <c r="AC12" i="3"/>
  <c r="Y7" i="3"/>
  <c r="AC7" i="3"/>
  <c r="Y24" i="3"/>
  <c r="AC24" i="3"/>
  <c r="Y25" i="3"/>
  <c r="AC25" i="3"/>
  <c r="Y20" i="3"/>
  <c r="AC20" i="3"/>
  <c r="X10" i="3"/>
  <c r="AD10" i="3" s="1"/>
  <c r="AC10" i="3"/>
  <c r="Y8" i="3"/>
  <c r="AC8" i="3"/>
  <c r="Y13" i="3"/>
  <c r="AC13" i="3"/>
  <c r="Y27" i="3"/>
  <c r="AC27" i="3"/>
  <c r="Y23" i="3"/>
  <c r="AC23" i="3"/>
  <c r="Y9" i="3"/>
  <c r="AC9" i="3"/>
  <c r="Y14" i="3"/>
  <c r="AC14" i="3"/>
  <c r="Y15" i="3"/>
  <c r="AC15" i="3"/>
  <c r="Y10" i="3"/>
  <c r="Y22" i="3"/>
  <c r="Y28" i="3"/>
  <c r="Y6" i="3"/>
  <c r="AV50" i="3"/>
  <c r="W50" i="3" s="1"/>
  <c r="AV40" i="3"/>
  <c r="W40" i="3" s="1"/>
  <c r="AV54" i="3"/>
  <c r="W54" i="3" s="1"/>
  <c r="AV35" i="3"/>
  <c r="W35" i="3" s="1"/>
  <c r="AV37" i="3"/>
  <c r="W37" i="3" s="1"/>
  <c r="AV48" i="3"/>
  <c r="W48" i="3" s="1"/>
  <c r="AV38" i="3"/>
  <c r="W38" i="3" s="1"/>
  <c r="AV39" i="3"/>
  <c r="W39" i="3" s="1"/>
  <c r="AV52" i="3"/>
  <c r="W52" i="3" s="1"/>
  <c r="AV41" i="3"/>
  <c r="W41" i="3" s="1"/>
  <c r="AV47" i="3"/>
  <c r="W47" i="3" s="1"/>
  <c r="AV53" i="3"/>
  <c r="W53" i="3" s="1"/>
  <c r="AV36" i="3"/>
  <c r="W36" i="3" s="1"/>
  <c r="AV34" i="3"/>
  <c r="W34" i="3" s="1"/>
  <c r="AV49" i="3"/>
  <c r="W49" i="3" s="1"/>
  <c r="AV33" i="3"/>
  <c r="W33" i="3" s="1"/>
  <c r="AV46" i="3"/>
  <c r="W46" i="3" s="1"/>
  <c r="AV51" i="3"/>
  <c r="W51" i="3" s="1"/>
  <c r="AV32" i="3"/>
  <c r="W32" i="3" s="1"/>
  <c r="AV45" i="3"/>
  <c r="W45" i="3" s="1"/>
  <c r="X11" i="3"/>
  <c r="AD11" i="3" s="1"/>
  <c r="X21" i="3"/>
  <c r="AD21" i="3" s="1"/>
  <c r="X19" i="3"/>
  <c r="AD19" i="3" s="1"/>
  <c r="X12" i="3"/>
  <c r="AD12" i="3" s="1"/>
  <c r="X7" i="3"/>
  <c r="AD7" i="3" s="1"/>
  <c r="X24" i="3"/>
  <c r="AD24" i="3" s="1"/>
  <c r="X25" i="3"/>
  <c r="AD25" i="3" s="1"/>
  <c r="X14" i="3"/>
  <c r="AD14" i="3" s="1"/>
  <c r="X15" i="3"/>
  <c r="AD15" i="3" s="1"/>
  <c r="X8" i="3"/>
  <c r="AD8" i="3" s="1"/>
  <c r="X26" i="3"/>
  <c r="AD26" i="3" s="1"/>
  <c r="X13" i="3"/>
  <c r="AD13" i="3" s="1"/>
  <c r="X27" i="3"/>
  <c r="AD27" i="3" s="1"/>
  <c r="X23" i="3"/>
  <c r="AD23" i="3" s="1"/>
  <c r="X9" i="3"/>
  <c r="AD9" i="3" s="1"/>
  <c r="X20" i="3"/>
  <c r="AD20" i="3" s="1"/>
  <c r="X6" i="3"/>
  <c r="AD6" i="3" s="1"/>
  <c r="Y46" i="3" l="1"/>
  <c r="AC46" i="3"/>
  <c r="Y36" i="3"/>
  <c r="AC36" i="3"/>
  <c r="Y52" i="3"/>
  <c r="AC52" i="3"/>
  <c r="Y37" i="3"/>
  <c r="AC37" i="3"/>
  <c r="Y50" i="3"/>
  <c r="AC50" i="3"/>
  <c r="Y32" i="3"/>
  <c r="AC32" i="3"/>
  <c r="Y49" i="3"/>
  <c r="AC49" i="3"/>
  <c r="Y47" i="3"/>
  <c r="AC47" i="3"/>
  <c r="Y38" i="3"/>
  <c r="AC38" i="3"/>
  <c r="Y54" i="3"/>
  <c r="AC54" i="3"/>
  <c r="Y45" i="3"/>
  <c r="AC45" i="3"/>
  <c r="Y51" i="3"/>
  <c r="AC51" i="3"/>
  <c r="Y33" i="3"/>
  <c r="AC33" i="3"/>
  <c r="Y34" i="3"/>
  <c r="AC34" i="3"/>
  <c r="Y53" i="3"/>
  <c r="AC53" i="3"/>
  <c r="Y41" i="3"/>
  <c r="AC41" i="3"/>
  <c r="Y39" i="3"/>
  <c r="AC39" i="3"/>
  <c r="Y48" i="3"/>
  <c r="AC48" i="3"/>
  <c r="Y35" i="3"/>
  <c r="AC35" i="3"/>
  <c r="Y40" i="3"/>
  <c r="AC40" i="3"/>
  <c r="X46" i="3"/>
  <c r="AD46" i="3" s="1"/>
  <c r="X49" i="3"/>
  <c r="AD49" i="3" s="1"/>
  <c r="X36" i="3"/>
  <c r="AD36" i="3" s="1"/>
  <c r="X47" i="3"/>
  <c r="AD47" i="3" s="1"/>
  <c r="X52" i="3"/>
  <c r="AD52" i="3" s="1"/>
  <c r="X38" i="3"/>
  <c r="AD38" i="3" s="1"/>
  <c r="X37" i="3"/>
  <c r="AD37" i="3" s="1"/>
  <c r="X54" i="3"/>
  <c r="AD54" i="3" s="1"/>
  <c r="X50" i="3"/>
  <c r="AD50" i="3" s="1"/>
  <c r="X51" i="3"/>
  <c r="AD51" i="3" s="1"/>
  <c r="X33" i="3"/>
  <c r="AD33" i="3" s="1"/>
  <c r="X34" i="3"/>
  <c r="AD34" i="3" s="1"/>
  <c r="X53" i="3"/>
  <c r="AD53" i="3" s="1"/>
  <c r="X41" i="3"/>
  <c r="AD41" i="3" s="1"/>
  <c r="X39" i="3"/>
  <c r="AD39" i="3" s="1"/>
  <c r="X48" i="3"/>
  <c r="AD48" i="3" s="1"/>
  <c r="X35" i="3"/>
  <c r="AD35" i="3" s="1"/>
  <c r="X40" i="3"/>
  <c r="AD40" i="3" s="1"/>
  <c r="X32" i="3"/>
  <c r="AD32" i="3" s="1"/>
  <c r="X45" i="3"/>
  <c r="AC57" i="3" l="1"/>
  <c r="W2" i="3" s="1"/>
  <c r="Y2" i="3" s="1"/>
  <c r="AD45" i="3"/>
  <c r="AD57" i="3" s="1"/>
  <c r="X2" i="3" s="1"/>
</calcChain>
</file>

<file path=xl/comments1.xml><?xml version="1.0" encoding="utf-8"?>
<comments xmlns="http://schemas.openxmlformats.org/spreadsheetml/2006/main">
  <authors>
    <author>Mikk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186"/>
          </rPr>
          <t>Allakülvi puudumisel jätke tühjaks või kustutage "delete" klahviga valikud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186"/>
          </rPr>
          <t>Valige põhikultuur etteantud valikust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186"/>
          </rPr>
          <t>Saagikus (t/ha) 14%-lise niiskuse juures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186"/>
          </rPr>
          <t>Põhu põllult eemaldamise korral valige "ei", teistel juhtudel "jah"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186"/>
          </rPr>
          <t>Valige "jah" kui toimub sügisene mullaharimine, valige "ei" kui taimik jääb kasvama</t>
        </r>
      </text>
    </comment>
    <comment ref="J5" authorId="0">
      <text>
        <r>
          <rPr>
            <b/>
            <sz val="9"/>
            <color indexed="81"/>
            <rFont val="Tahoma"/>
            <family val="2"/>
            <charset val="186"/>
          </rPr>
          <t>Visuaalne hinnangu alusel valige allakülvi ädala saagitase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186"/>
          </rPr>
          <t>Märgitakse tabelisse mullakaardi andmete põhjal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186"/>
          </rPr>
          <t xml:space="preserve">Valige esmalt kas soovite sisestada väärtuse orgaanilise süsiniku sisalduse või huumusesisaldusena, C või H % märgitakse tabelisse eelnevalt teostatud mullaanalüüsi põhjal 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186"/>
          </rPr>
          <t>Märgitakse tabelisse mullakaardi andmete põhjal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186"/>
          </rPr>
          <t>Märgitakse tabelisse mullakaardi andmete põhjal (v, r, k ja vastavad astmed); koresevaba mulla puhul valik r0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186"/>
          </rPr>
          <t>Valige künd või minimeeritud harimine (sealhulgas otsekülv)</t>
        </r>
      </text>
    </comment>
    <comment ref="Q5" authorId="0">
      <text>
        <r>
          <rPr>
            <b/>
            <sz val="9"/>
            <color indexed="81"/>
            <rFont val="Tahoma"/>
            <family val="2"/>
            <charset val="186"/>
          </rPr>
          <t>Orgaanilise väetise kasutamisel valige väetise liik (sh vahekultuur), mittekasutamisel "ilma väetiseta"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186"/>
          </rPr>
          <t>Tahketel väetistel t/ha ja vedelväetistel m3/ha.</t>
        </r>
      </text>
    </comment>
    <comment ref="S5" authorId="0">
      <text>
        <r>
          <rPr>
            <b/>
            <sz val="9"/>
            <color indexed="81"/>
            <rFont val="Tahoma"/>
            <family val="2"/>
            <charset val="186"/>
          </rPr>
          <t>Orgaaniliste väetiste orienteeruvad ka sisaldused:
Värske sõnnik 18-25%
Käärinud sõnni 20-30%
Veise vedelsõnnik 4-8%
Sea vedelsõnnik 4-8%
Värske kompost 30-45%
Valmis kompost 35-55%
Vedel biogaasi digestaat 4-10%
Tahke biogaasi digestaat 25-35%</t>
        </r>
      </text>
    </comment>
    <comment ref="T5" authorId="0">
      <text>
        <r>
          <rPr>
            <b/>
            <sz val="9"/>
            <color indexed="81"/>
            <rFont val="Tahoma"/>
            <family val="2"/>
            <charset val="186"/>
          </rPr>
          <t>Põllu lämmastikuga väetamisel valige "jah", mitteväetamisel "ei"</t>
        </r>
      </text>
    </comment>
    <comment ref="U5" authorId="0">
      <text>
        <r>
          <rPr>
            <b/>
            <sz val="9"/>
            <color indexed="81"/>
            <rFont val="Tahoma"/>
            <family val="2"/>
            <charset val="186"/>
          </rPr>
          <t>Sisestage summaarne mineraalväetiste N sisend elemendina (kg/ha)</t>
        </r>
      </text>
    </comment>
    <comment ref="D18" authorId="0">
      <text>
        <r>
          <rPr>
            <b/>
            <sz val="9"/>
            <color indexed="81"/>
            <rFont val="Tahoma"/>
            <family val="2"/>
            <charset val="186"/>
          </rPr>
          <t>Valige kultuur etteantud valikust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86"/>
          </rPr>
          <t>Saagikus (t/ha) hernel 14%-lise, rapsil 9%-lise niiskuse juures, kartulil mugulasaak, maisil saaki ei märgita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86"/>
          </rPr>
          <t>Põhu põllult eemaldamise korral valige "ei", teistel juhtudel "jah"</t>
        </r>
      </text>
    </comment>
    <comment ref="K18" authorId="0">
      <text>
        <r>
          <rPr>
            <b/>
            <sz val="9"/>
            <color indexed="81"/>
            <rFont val="Tahoma"/>
            <family val="2"/>
            <charset val="186"/>
          </rPr>
          <t>Märgitakse tabelisse mullakaardi andmete põhjal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186"/>
          </rPr>
          <t xml:space="preserve">Valige esmalt kas soovite sisestada väärtuse orgaanilise süsiniku sisalduse või huumusesisaldusena, C või H % märgitakse tabelisse eelnevalt teostatud mullaanalüüsi põhjal </t>
        </r>
      </text>
    </comment>
    <comment ref="N18" authorId="0">
      <text>
        <r>
          <rPr>
            <b/>
            <sz val="9"/>
            <color indexed="81"/>
            <rFont val="Tahoma"/>
            <family val="2"/>
            <charset val="186"/>
          </rPr>
          <t>Märgitakse tabelisse mullakaardi andmete põhjal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186"/>
          </rPr>
          <t>Märgitakse tabelisse mullakaardi andmete põhjal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186"/>
          </rPr>
          <t>Valige künd või minimeeritud harimine (sealhulgas otsekülv)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186"/>
          </rPr>
          <t>Orgaanilise väetise kasutamisel valige väetise liik (sh vahekultuur), mittekasutamisel "ilma väetiseta"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186"/>
          </rPr>
          <t>Tahketel väetistel t/ha ja vedelväetistel m3/ha.</t>
        </r>
      </text>
    </comment>
    <comment ref="S18" authorId="0">
      <text>
        <r>
          <rPr>
            <b/>
            <sz val="9"/>
            <color indexed="81"/>
            <rFont val="Tahoma"/>
            <charset val="1"/>
          </rPr>
          <t>Orgaaniliste väetiste orienteeruvad ka sisaldused:
Värske sõnnik 18-25%
Käärinud sõnni 20-30%
Veise vedelsõnnik 4-8%
Sea vedelsõnnik 4-8%
Värske kompost 30-45%
Valmis kompost 35-55%
Vedel biogaasi digestaat 4-10%
Tahke biogaasi digestaat 25-35%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186"/>
          </rPr>
          <t>Kartuli ja rapsi lämmastikuga väetamisel valige "jah", mitteväetamisel "ei", hernel ja maisil lämmastikuga väetamist arvutustes ei kajastata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186"/>
          </rPr>
          <t>Sisestage kartulil ja  rapsil summaarne mineraalväetiste N sisend elemendina (kg/ha)</t>
        </r>
      </text>
    </comment>
    <comment ref="D31" authorId="0">
      <text>
        <r>
          <rPr>
            <b/>
            <sz val="9"/>
            <color indexed="81"/>
            <rFont val="Tahoma"/>
            <family val="2"/>
            <charset val="186"/>
          </rPr>
          <t>Valige kultuur etteantud valikust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86"/>
          </rPr>
          <t>Saak kas kuiva heinana (ka 83%) või silona (ka 33%)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86"/>
          </rPr>
          <t>Valige kas saak koristati heinana või silona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186"/>
          </rPr>
          <t>Hinnang: liblikõieliste osatähtsus põldheina taimikus (10-90%)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186"/>
          </rPr>
          <t>Märgitakse tabelisse mullakaardi andmete põhjal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186"/>
          </rPr>
          <t xml:space="preserve">Valige esmalt kas soovite sisestada väärtuse orgaanilise süsiniku sisalduse või huumusesisaldusena, C või H % märgitakse tabelisse eelnevalt teostatud mullaanalüüsi põhjal </t>
        </r>
      </text>
    </comment>
    <comment ref="N31" authorId="0">
      <text>
        <r>
          <rPr>
            <b/>
            <sz val="9"/>
            <color indexed="81"/>
            <rFont val="Tahoma"/>
            <family val="2"/>
            <charset val="186"/>
          </rPr>
          <t>Märgitakse tabelisse mullakaardi andmete põhjal</t>
        </r>
      </text>
    </comment>
    <comment ref="O31" authorId="0">
      <text>
        <r>
          <rPr>
            <b/>
            <sz val="9"/>
            <color indexed="81"/>
            <rFont val="Tahoma"/>
            <family val="2"/>
            <charset val="186"/>
          </rPr>
          <t>Märgitakse tabelisse mullakaardi andmete põhjal</t>
        </r>
      </text>
    </comment>
    <comment ref="Q31" authorId="0">
      <text>
        <r>
          <rPr>
            <b/>
            <sz val="9"/>
            <color indexed="81"/>
            <rFont val="Tahoma"/>
            <family val="2"/>
            <charset val="186"/>
          </rPr>
          <t>Orgaanilise väetise kasutamisel valige väetise liik, mittekasutamisel "ilma väetiseta"</t>
        </r>
      </text>
    </comment>
    <comment ref="R31" authorId="0">
      <text>
        <r>
          <rPr>
            <b/>
            <sz val="9"/>
            <color indexed="81"/>
            <rFont val="Tahoma"/>
            <family val="2"/>
            <charset val="186"/>
          </rPr>
          <t>Tahketel väetistel t/ha ja vedelväetistel m3/ha.</t>
        </r>
      </text>
    </comment>
    <comment ref="S31" authorId="0">
      <text>
        <r>
          <rPr>
            <b/>
            <sz val="9"/>
            <color indexed="81"/>
            <rFont val="Tahoma"/>
            <charset val="1"/>
          </rPr>
          <t>Orgaaniliste väetiste orienteeruvad ka sisaldused:
Värske sõnnik 18-25%
Käärinud sõnni 20-30%
Veise vedelsõnnik 4-8%
Sea vedelsõnnik 4-8%
Värske kompost 30-45%
Valmis kompost 35-55%
Vedel biogaasi digestaat 4-10%
Tahke biogaasi digestaat 25-35%</t>
        </r>
      </text>
    </comment>
    <comment ref="T31" authorId="0">
      <text>
        <r>
          <rPr>
            <b/>
            <sz val="9"/>
            <color indexed="81"/>
            <rFont val="Tahoma"/>
            <family val="2"/>
            <charset val="186"/>
          </rPr>
          <t>Timuti lämmastikuga väetamisel valige "jah", mitteväetamisel "ei"</t>
        </r>
      </text>
    </comment>
    <comment ref="U31" authorId="0">
      <text>
        <r>
          <rPr>
            <b/>
            <sz val="9"/>
            <color indexed="81"/>
            <rFont val="Tahoma"/>
            <family val="2"/>
            <charset val="186"/>
          </rPr>
          <t>Sisestage summaarne mineraalväetiste N sisend elemendina (kg/ha)</t>
        </r>
      </text>
    </comment>
    <comment ref="D44" authorId="0">
      <text>
        <r>
          <rPr>
            <b/>
            <sz val="9"/>
            <color indexed="81"/>
            <rFont val="Tahoma"/>
            <family val="2"/>
            <charset val="186"/>
          </rPr>
          <t>Haljasväetiskultuur etteantud valikust</t>
        </r>
      </text>
    </comment>
    <comment ref="G44" authorId="0">
      <text>
        <r>
          <rPr>
            <b/>
            <sz val="9"/>
            <color indexed="81"/>
            <rFont val="Tahoma"/>
            <family val="2"/>
            <charset val="186"/>
          </rPr>
          <t>Visuaalne hinnangu alusel valige haljasväetise biomassi saagitase</t>
        </r>
      </text>
    </comment>
    <comment ref="K44" authorId="0">
      <text>
        <r>
          <rPr>
            <b/>
            <sz val="9"/>
            <color indexed="81"/>
            <rFont val="Tahoma"/>
            <family val="2"/>
            <charset val="186"/>
          </rPr>
          <t>Märgitakse tabelisse mullakaardi andmete põhjal</t>
        </r>
      </text>
    </comment>
    <comment ref="L44" authorId="0">
      <text>
        <r>
          <rPr>
            <b/>
            <sz val="9"/>
            <color indexed="81"/>
            <rFont val="Tahoma"/>
            <family val="2"/>
            <charset val="186"/>
          </rPr>
          <t xml:space="preserve">Valige esmalt kas soovite sisestada väärtuse orgaanilise süsiniku sisalduse või huumusesisaldusena, C või H % märgitakse tabelisse eelnevalt teostatud mullaanalüüsi põhjal </t>
        </r>
      </text>
    </comment>
    <comment ref="N44" authorId="0">
      <text>
        <r>
          <rPr>
            <b/>
            <sz val="9"/>
            <color indexed="81"/>
            <rFont val="Tahoma"/>
            <family val="2"/>
            <charset val="186"/>
          </rPr>
          <t>Märgitakse tabelisse mullakaardi andmete põhjal</t>
        </r>
      </text>
    </comment>
    <comment ref="O44" authorId="0">
      <text>
        <r>
          <rPr>
            <b/>
            <sz val="9"/>
            <color indexed="81"/>
            <rFont val="Tahoma"/>
            <family val="2"/>
            <charset val="186"/>
          </rPr>
          <t>Märgitakse tabelisse mullakaardi andmete põhjal</t>
        </r>
      </text>
    </comment>
    <comment ref="P44" authorId="0">
      <text>
        <r>
          <rPr>
            <b/>
            <sz val="9"/>
            <color indexed="81"/>
            <rFont val="Tahoma"/>
            <family val="2"/>
            <charset val="186"/>
          </rPr>
          <t>Valige künd või minimeeritud harimine</t>
        </r>
      </text>
    </comment>
    <comment ref="Q44" authorId="0">
      <text>
        <r>
          <rPr>
            <b/>
            <sz val="9"/>
            <color indexed="81"/>
            <rFont val="Tahoma"/>
            <family val="2"/>
            <charset val="186"/>
          </rPr>
          <t>Orgaanilise väetise kasutamisel valige väetise liik, mittekasutamisel "ilma väetiseta"</t>
        </r>
      </text>
    </comment>
    <comment ref="R44" authorId="0">
      <text>
        <r>
          <rPr>
            <b/>
            <sz val="9"/>
            <color indexed="81"/>
            <rFont val="Tahoma"/>
            <family val="2"/>
            <charset val="186"/>
          </rPr>
          <t>Tahketel väetistel t/ha ja vedelväetistel m3/ha.</t>
        </r>
      </text>
    </comment>
    <comment ref="S44" authorId="0">
      <text>
        <r>
          <rPr>
            <b/>
            <sz val="9"/>
            <color indexed="81"/>
            <rFont val="Tahoma"/>
            <charset val="1"/>
          </rPr>
          <t>Orgaaniliste väetiste orienteeruvad ka sisaldused:
Värske sõnnik 18-25%
Käärinud sõnni 20-30%
Veise vedelsõnnik 4-8%
Sea vedelsõnnik 4-8%
Värske kompost 30-45%
Valmis kompost 35-55%
Vedel biogaasi digestaat 4-10%
Tahke biogaasi digestaat 25-35%</t>
        </r>
      </text>
    </comment>
  </commentList>
</comments>
</file>

<file path=xl/sharedStrings.xml><?xml version="1.0" encoding="utf-8"?>
<sst xmlns="http://schemas.openxmlformats.org/spreadsheetml/2006/main" count="642" uniqueCount="225">
  <si>
    <t>Kultuur ja saak</t>
  </si>
  <si>
    <t>Muld</t>
  </si>
  <si>
    <t>Väetamine</t>
  </si>
  <si>
    <t>Tulemustegurid</t>
  </si>
  <si>
    <t>Vahetulemused</t>
  </si>
  <si>
    <t>Põllu nr</t>
  </si>
  <si>
    <t>Põllu nimi</t>
  </si>
  <si>
    <t>Põllumassiv, PRIA id</t>
  </si>
  <si>
    <t>Kultuur</t>
  </si>
  <si>
    <t>Pind, ha</t>
  </si>
  <si>
    <t>Kasvuaasta</t>
  </si>
  <si>
    <t>Põhisaak, t/ha</t>
  </si>
  <si>
    <t>Põhk mulda</t>
  </si>
  <si>
    <t>Liblikõieliste %</t>
  </si>
  <si>
    <t>Mulla liik</t>
  </si>
  <si>
    <t>Mulla lõimis</t>
  </si>
  <si>
    <t>Huumusekihi tüsedus, cm</t>
  </si>
  <si>
    <t>Koresisalduse aste</t>
  </si>
  <si>
    <t>Lasuvustihedus</t>
  </si>
  <si>
    <t>Orgaaniline väetis</t>
  </si>
  <si>
    <r>
      <t>Kasutusnorm, t/ha või m</t>
    </r>
    <r>
      <rPr>
        <vertAlign val="superscript"/>
        <sz val="11"/>
        <rFont val="Calibri"/>
        <family val="2"/>
        <charset val="1"/>
      </rPr>
      <t>3</t>
    </r>
    <r>
      <rPr>
        <sz val="11"/>
        <rFont val="Calibri"/>
        <family val="2"/>
        <charset val="1"/>
      </rPr>
      <t>/ha</t>
    </r>
  </si>
  <si>
    <t>Kuivaine, %</t>
  </si>
  <si>
    <t>Mineraalne N</t>
  </si>
  <si>
    <t>N, kg/ha</t>
  </si>
  <si>
    <t>Algne huumusvaru, t/ha</t>
  </si>
  <si>
    <t>Huumusbilanss, kg/ha aastas</t>
  </si>
  <si>
    <t>Koresisaldus</t>
  </si>
  <si>
    <t>LT vabaliige</t>
  </si>
  <si>
    <t>LT huumusesisaldus</t>
  </si>
  <si>
    <t>B1 vabaliige</t>
  </si>
  <si>
    <t>B1 hu</t>
  </si>
  <si>
    <t>B1 saak</t>
  </si>
  <si>
    <t>B1 ristik</t>
  </si>
  <si>
    <t>B1 N</t>
  </si>
  <si>
    <t>Bilanss 1 osa</t>
  </si>
  <si>
    <t>B2 vabaliige</t>
  </si>
  <si>
    <t>B2 kuivaine</t>
  </si>
  <si>
    <t>B2 norm</t>
  </si>
  <si>
    <t>Bilanss 2 osa</t>
  </si>
  <si>
    <t>Oder</t>
  </si>
  <si>
    <t>ei</t>
  </si>
  <si>
    <t>Ag</t>
  </si>
  <si>
    <t>Saviliiv (sl)</t>
  </si>
  <si>
    <t>r1</t>
  </si>
  <si>
    <t>Ilma väetiseta</t>
  </si>
  <si>
    <t>jah</t>
  </si>
  <si>
    <t>Nisu</t>
  </si>
  <si>
    <t>Värske sõnnik</t>
  </si>
  <si>
    <t>Vabaliige</t>
  </si>
  <si>
    <t>Hu, t/ha</t>
  </si>
  <si>
    <t>Saak, kg/ha</t>
  </si>
  <si>
    <t>Ristiku %</t>
  </si>
  <si>
    <t>Orgaanika</t>
  </si>
  <si>
    <t>Kuivaine %</t>
  </si>
  <si>
    <r>
      <t>Norm, t/ha või m</t>
    </r>
    <r>
      <rPr>
        <vertAlign val="superscript"/>
        <sz val="11"/>
        <rFont val="Calibri"/>
        <family val="2"/>
        <charset val="1"/>
      </rPr>
      <t>3</t>
    </r>
    <r>
      <rPr>
        <sz val="11"/>
        <rFont val="Calibri"/>
        <family val="2"/>
        <charset val="1"/>
      </rPr>
      <t>/ha</t>
    </r>
  </si>
  <si>
    <t>AG+</t>
  </si>
  <si>
    <t>Rukis</t>
  </si>
  <si>
    <t>D</t>
  </si>
  <si>
    <t>Kaer</t>
  </si>
  <si>
    <t>Dg</t>
  </si>
  <si>
    <t>DG+</t>
  </si>
  <si>
    <t>Käärinud sõnnik</t>
  </si>
  <si>
    <t>Raps</t>
  </si>
  <si>
    <t>E2I</t>
  </si>
  <si>
    <t>Kartul</t>
  </si>
  <si>
    <t>E2k</t>
  </si>
  <si>
    <t>E2o</t>
  </si>
  <si>
    <t>E3I</t>
  </si>
  <si>
    <t>Punane ristik koristatakse, ei künta</t>
  </si>
  <si>
    <t>E3k</t>
  </si>
  <si>
    <t>Punane ristik koristatakse, künd</t>
  </si>
  <si>
    <t>E3o</t>
  </si>
  <si>
    <t>Gh</t>
  </si>
  <si>
    <t>Lutsern koristatakse, ei künta</t>
  </si>
  <si>
    <t>GI</t>
  </si>
  <si>
    <t>Lutsern koristatakse, künd</t>
  </si>
  <si>
    <t>Gk</t>
  </si>
  <si>
    <t>Gkr</t>
  </si>
  <si>
    <t>Go</t>
  </si>
  <si>
    <t>Gor</t>
  </si>
  <si>
    <t>K</t>
  </si>
  <si>
    <t>Ke</t>
  </si>
  <si>
    <t>Kg</t>
  </si>
  <si>
    <t>Kh</t>
  </si>
  <si>
    <t>Khg</t>
  </si>
  <si>
    <t>KI</t>
  </si>
  <si>
    <t>Huumusesisaldus</t>
  </si>
  <si>
    <t>KIe</t>
  </si>
  <si>
    <t>Liiv (l)</t>
  </si>
  <si>
    <t>r0</t>
  </si>
  <si>
    <t>KIg</t>
  </si>
  <si>
    <t>Kk</t>
  </si>
  <si>
    <t>Kerge liivsavi (ls1)</t>
  </si>
  <si>
    <t>r2</t>
  </si>
  <si>
    <t>Kkg</t>
  </si>
  <si>
    <t>Keskmine liivsavi (ls2)</t>
  </si>
  <si>
    <t>r3</t>
  </si>
  <si>
    <t>Ko</t>
  </si>
  <si>
    <t>Raske liivsavi (ls3)</t>
  </si>
  <si>
    <t>r4</t>
  </si>
  <si>
    <t>Koe</t>
  </si>
  <si>
    <t>Savi (s)</t>
  </si>
  <si>
    <t>r5</t>
  </si>
  <si>
    <t>Kog</t>
  </si>
  <si>
    <t>r</t>
  </si>
  <si>
    <t>Kor</t>
  </si>
  <si>
    <t>Korg</t>
  </si>
  <si>
    <t>Kr</t>
  </si>
  <si>
    <t>Krg</t>
  </si>
  <si>
    <t>LkG</t>
  </si>
  <si>
    <t>LkI</t>
  </si>
  <si>
    <t>LkIe</t>
  </si>
  <si>
    <t>LkIg</t>
  </si>
  <si>
    <t>LkII</t>
  </si>
  <si>
    <t>LkIIe</t>
  </si>
  <si>
    <t>LkIIg</t>
  </si>
  <si>
    <t>LkIIIg</t>
  </si>
  <si>
    <t>LP</t>
  </si>
  <si>
    <t>Lpe</t>
  </si>
  <si>
    <t>LPg</t>
  </si>
  <si>
    <t>LPG+</t>
  </si>
  <si>
    <t>Mais</t>
  </si>
  <si>
    <t>Vahekultuurid</t>
  </si>
  <si>
    <t>B2 vahekultuurid</t>
  </si>
  <si>
    <t>N*N</t>
  </si>
  <si>
    <t>B1 N*N</t>
  </si>
  <si>
    <t>Teated</t>
  </si>
  <si>
    <t>Nii huumusvaesel mullal on väetamiseta nii suure saagi saamine ebatõenäoline. Mudel võib ülehinnata huumuse kulu.</t>
  </si>
  <si>
    <t>Saak, t/ha</t>
  </si>
  <si>
    <t>hein</t>
  </si>
  <si>
    <t>silo</t>
  </si>
  <si>
    <t>Hein\Silo</t>
  </si>
  <si>
    <t>x3</t>
  </si>
  <si>
    <t>x2</t>
  </si>
  <si>
    <t>x1</t>
  </si>
  <si>
    <t>vabaliige</t>
  </si>
  <si>
    <t>max saak</t>
  </si>
  <si>
    <t>max üle 6</t>
  </si>
  <si>
    <t>Teade -väet</t>
  </si>
  <si>
    <t>Teade +väet</t>
  </si>
  <si>
    <t>Teraviljad</t>
  </si>
  <si>
    <t>Muud kultuurid</t>
  </si>
  <si>
    <t>Heintaimed</t>
  </si>
  <si>
    <t>Haljasväetised</t>
  </si>
  <si>
    <t>väike</t>
  </si>
  <si>
    <t>keskmine</t>
  </si>
  <si>
    <t>suur</t>
  </si>
  <si>
    <t>Hein või silo</t>
  </si>
  <si>
    <t>Saak</t>
  </si>
  <si>
    <t>Allakülv</t>
  </si>
  <si>
    <t>Haljasväetise saak</t>
  </si>
  <si>
    <t>Bilanss allakülv</t>
  </si>
  <si>
    <t>künd</t>
  </si>
  <si>
    <t>ei künta</t>
  </si>
  <si>
    <t>Vedel biogaasi digestaat</t>
  </si>
  <si>
    <t>Tahke biogaasi digestaat</t>
  </si>
  <si>
    <t>Värske kompost</t>
  </si>
  <si>
    <t>Valmis kompost</t>
  </si>
  <si>
    <t>Harimisviis</t>
  </si>
  <si>
    <t>Bilanss 1 osa % lisaks</t>
  </si>
  <si>
    <t>minimeeritud harimine</t>
  </si>
  <si>
    <t>B1</t>
  </si>
  <si>
    <t>Veise vedelsõnnik</t>
  </si>
  <si>
    <t>Sea vedelsõnnik</t>
  </si>
  <si>
    <t>Timut koristatakse, ei künta</t>
  </si>
  <si>
    <t>Timut koristatakse, künd</t>
  </si>
  <si>
    <t>Lutsern haljasväetiseks</t>
  </si>
  <si>
    <t>Põhisaagi kordaja</t>
  </si>
  <si>
    <t>Põldhein koristatakse, ei künta</t>
  </si>
  <si>
    <t>Põldhein koristatakse, künd</t>
  </si>
  <si>
    <t>Saak on väetiskogust arvestades väike ja mudeli hinnang on suure määramatusega.</t>
  </si>
  <si>
    <t>v+</t>
  </si>
  <si>
    <t>v-</t>
  </si>
  <si>
    <t>v- saagi ja hu% suhe hoiatuse jaoks</t>
  </si>
  <si>
    <t>v+ hoiatus</t>
  </si>
  <si>
    <t>max bilanss</t>
  </si>
  <si>
    <t>max B1</t>
  </si>
  <si>
    <t>B1 piiratud</t>
  </si>
  <si>
    <t>C</t>
  </si>
  <si>
    <t>H</t>
  </si>
  <si>
    <t>Süsiniku või huumusesisaldus</t>
  </si>
  <si>
    <t>Süsiniku (C) või huumusesisaldus (H), %</t>
  </si>
  <si>
    <t>Hernes, uba</t>
  </si>
  <si>
    <t>Ristik ja mesikas haljasväetiseks</t>
  </si>
  <si>
    <t>Mulda viimine</t>
  </si>
  <si>
    <t>Kaalutud keskmise abiveerud</t>
  </si>
  <si>
    <t>Kokku</t>
  </si>
  <si>
    <t>Paranduskoefitsent</t>
  </si>
  <si>
    <t>Huumusvaru muutus, % algvarust aastas</t>
  </si>
  <si>
    <t>Hinnangud</t>
  </si>
  <si>
    <t>Hinnang huumusbilansi tulemusele</t>
  </si>
  <si>
    <t>Väga madal, negatiivne mõju mullaviljakusele ja saagikusele</t>
  </si>
  <si>
    <t>Madal, ebasoodne madala huumussisaldusega muldadel, lühiajaliselt aktsepteeritav  suure huumusvaruga muldadel</t>
  </si>
  <si>
    <t>Optimaalne, tagab saagikindluse, sobiv erineva huumussisaldusega muldadele</t>
  </si>
  <si>
    <t>Kõrge, sobib eeskätt madala huumussisaldusega muldadele</t>
  </si>
  <si>
    <t>Väga kõrge, suureneb lämmastiku leostumise oht</t>
  </si>
  <si>
    <t>Kasuta kalkulaatorit</t>
  </si>
  <si>
    <t>Eesti Maaülikool, põllumajandus- ja keskkonnainstituut. 2015.</t>
  </si>
  <si>
    <t>enn.lauringson@emu.ee</t>
  </si>
  <si>
    <t xml:space="preserve">Kontakt ja tagasiside: </t>
  </si>
  <si>
    <t>alar.astover@emu.ee</t>
  </si>
  <si>
    <t>Põld</t>
  </si>
  <si>
    <t>Muld ja mullaharimine</t>
  </si>
  <si>
    <t>Tulemused</t>
  </si>
  <si>
    <t>Koondtulemused kaalutud keskmisena</t>
  </si>
  <si>
    <t>Huumusbilansi kalkulaator v 1.0</t>
  </si>
  <si>
    <t xml:space="preserve">Selle sisuline täiendamine ja arendus on lubatud ainult eelneval kokkuleppel väljaandjaga. </t>
  </si>
  <si>
    <t>Kasutusjuhend</t>
  </si>
  <si>
    <t xml:space="preserve">Kalkulaator on tasuta kasutamiseks ja levitamiseks. </t>
  </si>
  <si>
    <t>Kalkulaatori koostamist on toetanud Eesti Vabariigi Põllumajandusministeerium.</t>
  </si>
  <si>
    <t>Uuendused ja täiendav info</t>
  </si>
  <si>
    <t>Sisestada tuleb kultuuri põhisaak (nt nisu tera saagikus t/ha) või haljasväetistel teha saagitaseme valik (väike, keskmine, suur).</t>
  </si>
  <si>
    <t>Harimisviisidest saab valida kas künd või minimeeritud harimine (sh otsekülv).</t>
  </si>
  <si>
    <t>Allakülvide puhul tuleb teha valik kas biomass viiakse mulda või jääb edasi kasvama.</t>
  </si>
  <si>
    <t>Teraviljadel on vaja valida kas põhk eemaldatakse põllult või jääb põllule.</t>
  </si>
  <si>
    <t>Mulla omadustest on vaja sisestada orgaanilise süsiniku või huumusesisaldus (%), huumuskihi tüsedus (cm) ning valida lõimis ja koresesisalduse aste. Neist kolme viimast saab vaadata mullakaardilt.</t>
  </si>
  <si>
    <t>"Muldade väliuurimine": lk 66 juhend digitaalse mullakaardi kasutamiseks Maa-ameti veebirakenduses.</t>
  </si>
  <si>
    <t xml:space="preserve">Mineraalväetiste kasutamisel tuleb sisestada summaarne lämmastiku sisend elemendina (N, kg/ha). </t>
  </si>
  <si>
    <r>
      <rPr>
        <i/>
        <sz val="10"/>
        <rFont val="Arial"/>
        <family val="2"/>
        <charset val="186"/>
      </rPr>
      <t>Kalkulaator</t>
    </r>
    <r>
      <rPr>
        <sz val="10"/>
        <rFont val="Arial"/>
        <family val="2"/>
        <charset val="186"/>
      </rPr>
      <t xml:space="preserve"> töötab MS Office Exceli ning ka vabavarilise Libre Office tarkvaraga.</t>
    </r>
  </si>
  <si>
    <r>
      <rPr>
        <i/>
        <sz val="10"/>
        <rFont val="Arial"/>
        <family val="2"/>
        <charset val="186"/>
      </rPr>
      <t>Huumusbilanss</t>
    </r>
    <r>
      <rPr>
        <sz val="10"/>
        <rFont val="Arial"/>
        <family val="2"/>
        <charset val="186"/>
      </rPr>
      <t xml:space="preserve"> sõltub tootmistasemest, mullast, kasvatatavast kultuurist ja väetamisest. Kalkulaatorit saab hetkel kasutada ainult mineraalmuldadel huumusbilansi arvutamiseks enamlevinud põllukultuuride külvikorra jaoks.</t>
    </r>
  </si>
  <si>
    <r>
      <rPr>
        <i/>
        <sz val="10"/>
        <rFont val="Arial"/>
        <family val="2"/>
        <charset val="186"/>
      </rPr>
      <t>Tulemused</t>
    </r>
    <r>
      <rPr>
        <sz val="10"/>
        <rFont val="Arial"/>
        <family val="2"/>
        <charset val="186"/>
      </rPr>
      <t>: algne huumusvaru (t/ha); huumusbilanss (kg/ha aastas); huumusvaru muutus (% algsest huumusvarust aastas). Kalkulaator võimaldab leida tulemit konkreetse kõlviku kui ka kogu külvikorra kohta.</t>
    </r>
  </si>
  <si>
    <r>
      <rPr>
        <i/>
        <sz val="10"/>
        <rFont val="Arial"/>
        <family val="2"/>
        <charset val="186"/>
      </rPr>
      <t>Kultuurid</t>
    </r>
    <r>
      <rPr>
        <sz val="10"/>
        <rFont val="Arial"/>
        <family val="2"/>
        <charset val="186"/>
      </rPr>
      <t xml:space="preserve"> on jaotatud nelja gruppi: teraviljad, muud kultuurid, heintaimed, haljsaväetised. Esmalt valitakse lahtri aktiviseerimisel avanevast valikmenüüst kasvatatav kultuur ja sisestatakse selle kasvupind. </t>
    </r>
  </si>
  <si>
    <r>
      <rPr>
        <i/>
        <sz val="10"/>
        <rFont val="Arial"/>
        <family val="2"/>
        <charset val="186"/>
      </rPr>
      <t>Kohustuslikud</t>
    </r>
    <r>
      <rPr>
        <sz val="10"/>
        <rFont val="Arial"/>
        <family val="2"/>
        <charset val="186"/>
      </rPr>
      <t xml:space="preserve"> lähteandmete lahtrid on kuni andmete sisestamiseni sellise värvitooniga.</t>
    </r>
  </si>
  <si>
    <t>Üksikasjalikum kasutusjuhend valikuvõimaluste seletusega on siit pdf failina kättesaadav.</t>
  </si>
  <si>
    <t>Andmete sisestamisel tuleb jääda praktikas tavapärase ja hea põllumajandustava piiridesse, vastasel  juhul võib mudeli hinnag väär tulla.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</si>
</sst>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186"/>
    </font>
    <font>
      <sz val="11"/>
      <name val="Calibri"/>
      <family val="2"/>
      <charset val="1"/>
    </font>
    <font>
      <vertAlign val="superscript"/>
      <sz val="11"/>
      <name val="Calibri"/>
      <family val="2"/>
      <charset val="1"/>
    </font>
    <font>
      <sz val="11"/>
      <name val="Calibri"/>
      <family val="2"/>
    </font>
    <font>
      <sz val="11"/>
      <color rgb="FF00B050"/>
      <name val="Calibri"/>
      <family val="2"/>
      <charset val="1"/>
    </font>
    <font>
      <b/>
      <sz val="11"/>
      <name val="Calibri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  <font>
      <u/>
      <sz val="10"/>
      <color theme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CC99"/>
        <bgColor rgb="FFCCCCCC"/>
      </patternFill>
    </fill>
    <fill>
      <patternFill patternType="solid">
        <fgColor rgb="FFCCCCFF"/>
        <bgColor rgb="FFCCCC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rgb="FF969696"/>
      </patternFill>
    </fill>
    <fill>
      <patternFill patternType="solid">
        <fgColor theme="8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Protection="1">
      <protection hidden="1"/>
    </xf>
    <xf numFmtId="0" fontId="1" fillId="5" borderId="0" xfId="0" applyFont="1" applyFill="1" applyProtection="1">
      <protection hidden="1"/>
    </xf>
    <xf numFmtId="0" fontId="1" fillId="0" borderId="0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1" fillId="6" borderId="6" xfId="0" applyFont="1" applyFill="1" applyBorder="1" applyProtection="1">
      <protection hidden="1"/>
    </xf>
    <xf numFmtId="0" fontId="1" fillId="6" borderId="1" xfId="0" applyFont="1" applyFill="1" applyBorder="1" applyProtection="1">
      <protection hidden="1"/>
    </xf>
    <xf numFmtId="0" fontId="1" fillId="7" borderId="1" xfId="0" applyFont="1" applyFill="1" applyBorder="1" applyProtection="1">
      <protection hidden="1"/>
    </xf>
    <xf numFmtId="0" fontId="1" fillId="6" borderId="7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0" fontId="1" fillId="6" borderId="3" xfId="0" applyFont="1" applyFill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7" borderId="12" xfId="0" applyFont="1" applyFill="1" applyBorder="1" applyProtection="1">
      <protection hidden="1"/>
    </xf>
    <xf numFmtId="0" fontId="1" fillId="7" borderId="7" xfId="0" applyFont="1" applyFill="1" applyBorder="1" applyProtection="1">
      <protection hidden="1"/>
    </xf>
    <xf numFmtId="0" fontId="1" fillId="7" borderId="6" xfId="0" applyFont="1" applyFill="1" applyBorder="1" applyProtection="1">
      <protection hidden="1"/>
    </xf>
    <xf numFmtId="164" fontId="1" fillId="0" borderId="9" xfId="0" applyNumberFormat="1" applyFont="1" applyBorder="1" applyProtection="1">
      <protection hidden="1"/>
    </xf>
    <xf numFmtId="164" fontId="1" fillId="0" borderId="11" xfId="0" applyNumberFormat="1" applyFont="1" applyBorder="1" applyProtection="1">
      <protection hidden="1"/>
    </xf>
    <xf numFmtId="0" fontId="1" fillId="0" borderId="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4" fillId="0" borderId="7" xfId="0" applyFont="1" applyBorder="1" applyProtection="1">
      <protection hidden="1"/>
    </xf>
    <xf numFmtId="0" fontId="1" fillId="0" borderId="8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4" fillId="0" borderId="9" xfId="0" applyFont="1" applyBorder="1" applyProtection="1">
      <protection hidden="1"/>
    </xf>
    <xf numFmtId="0" fontId="1" fillId="0" borderId="10" xfId="0" applyFont="1" applyBorder="1" applyProtection="1">
      <protection locked="0" hidden="1"/>
    </xf>
    <xf numFmtId="0" fontId="1" fillId="0" borderId="2" xfId="0" applyFont="1" applyBorder="1" applyProtection="1">
      <protection locked="0" hidden="1"/>
    </xf>
    <xf numFmtId="0" fontId="4" fillId="0" borderId="11" xfId="0" applyFont="1" applyBorder="1" applyProtection="1">
      <protection hidden="1"/>
    </xf>
    <xf numFmtId="0" fontId="1" fillId="0" borderId="7" xfId="0" applyFont="1" applyBorder="1" applyProtection="1">
      <protection locked="0" hidden="1"/>
    </xf>
    <xf numFmtId="0" fontId="1" fillId="0" borderId="9" xfId="0" applyFont="1" applyBorder="1" applyProtection="1">
      <protection locked="0" hidden="1"/>
    </xf>
    <xf numFmtId="0" fontId="1" fillId="0" borderId="11" xfId="0" applyFont="1" applyBorder="1" applyProtection="1">
      <protection locked="0" hidden="1"/>
    </xf>
    <xf numFmtId="0" fontId="1" fillId="0" borderId="7" xfId="0" applyFont="1" applyFill="1" applyBorder="1" applyProtection="1">
      <protection locked="0" hidden="1"/>
    </xf>
    <xf numFmtId="0" fontId="1" fillId="0" borderId="9" xfId="0" applyFont="1" applyFill="1" applyBorder="1" applyProtection="1">
      <protection locked="0" hidden="1"/>
    </xf>
    <xf numFmtId="0" fontId="1" fillId="0" borderId="11" xfId="0" applyFont="1" applyFill="1" applyBorder="1" applyProtection="1">
      <protection locked="0" hidden="1"/>
    </xf>
    <xf numFmtId="0" fontId="1" fillId="8" borderId="1" xfId="0" applyFont="1" applyFill="1" applyBorder="1" applyProtection="1">
      <protection hidden="1"/>
    </xf>
    <xf numFmtId="0" fontId="1" fillId="8" borderId="0" xfId="0" applyFont="1" applyFill="1" applyBorder="1" applyProtection="1">
      <protection hidden="1"/>
    </xf>
    <xf numFmtId="0" fontId="1" fillId="8" borderId="2" xfId="0" applyFont="1" applyFill="1" applyBorder="1" applyProtection="1">
      <protection hidden="1"/>
    </xf>
    <xf numFmtId="0" fontId="1" fillId="7" borderId="3" xfId="0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9" fontId="1" fillId="0" borderId="11" xfId="0" applyNumberFormat="1" applyFont="1" applyBorder="1" applyProtection="1">
      <protection hidden="1"/>
    </xf>
    <xf numFmtId="0" fontId="1" fillId="6" borderId="12" xfId="0" applyFont="1" applyFill="1" applyBorder="1" applyProtection="1">
      <protection hidden="1"/>
    </xf>
    <xf numFmtId="0" fontId="0" fillId="0" borderId="0" xfId="0" applyProtection="1">
      <protection hidden="1"/>
    </xf>
    <xf numFmtId="0" fontId="1" fillId="9" borderId="0" xfId="0" applyFont="1" applyFill="1" applyProtection="1">
      <protection hidden="1"/>
    </xf>
    <xf numFmtId="1" fontId="1" fillId="0" borderId="1" xfId="0" applyNumberFormat="1" applyFont="1" applyBorder="1" applyProtection="1">
      <protection hidden="1"/>
    </xf>
    <xf numFmtId="2" fontId="1" fillId="0" borderId="1" xfId="0" applyNumberFormat="1" applyFont="1" applyBorder="1" applyProtection="1">
      <protection hidden="1"/>
    </xf>
    <xf numFmtId="1" fontId="1" fillId="0" borderId="0" xfId="0" applyNumberFormat="1" applyFont="1" applyBorder="1" applyProtection="1">
      <protection hidden="1"/>
    </xf>
    <xf numFmtId="2" fontId="1" fillId="0" borderId="0" xfId="0" applyNumberFormat="1" applyFont="1" applyBorder="1" applyProtection="1">
      <protection hidden="1"/>
    </xf>
    <xf numFmtId="1" fontId="1" fillId="0" borderId="2" xfId="0" applyNumberFormat="1" applyFont="1" applyBorder="1" applyProtection="1">
      <protection hidden="1"/>
    </xf>
    <xf numFmtId="2" fontId="1" fillId="0" borderId="2" xfId="0" applyNumberFormat="1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13" xfId="0" applyFont="1" applyBorder="1" applyAlignment="1" applyProtection="1">
      <protection hidden="1"/>
    </xf>
    <xf numFmtId="0" fontId="1" fillId="0" borderId="15" xfId="0" applyFont="1" applyBorder="1" applyAlignment="1" applyProtection="1">
      <protection hidden="1"/>
    </xf>
    <xf numFmtId="0" fontId="1" fillId="0" borderId="14" xfId="0" applyFont="1" applyBorder="1" applyAlignment="1" applyProtection="1">
      <protection hidden="1"/>
    </xf>
    <xf numFmtId="0" fontId="1" fillId="0" borderId="12" xfId="0" applyFont="1" applyBorder="1" applyProtection="1">
      <protection hidden="1"/>
    </xf>
    <xf numFmtId="1" fontId="1" fillId="0" borderId="15" xfId="0" applyNumberFormat="1" applyFont="1" applyBorder="1" applyProtection="1">
      <protection hidden="1"/>
    </xf>
    <xf numFmtId="1" fontId="1" fillId="0" borderId="13" xfId="0" applyNumberFormat="1" applyFont="1" applyBorder="1" applyProtection="1">
      <protection hidden="1"/>
    </xf>
    <xf numFmtId="2" fontId="1" fillId="0" borderId="14" xfId="0" applyNumberFormat="1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7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8" xfId="0" applyFont="1" applyBorder="1" applyProtection="1">
      <protection hidden="1"/>
    </xf>
    <xf numFmtId="0" fontId="1" fillId="5" borderId="8" xfId="0" applyFont="1" applyFill="1" applyBorder="1" applyProtection="1">
      <protection hidden="1"/>
    </xf>
    <xf numFmtId="0" fontId="1" fillId="5" borderId="0" xfId="0" applyFont="1" applyFill="1" applyBorder="1" applyProtection="1">
      <protection hidden="1"/>
    </xf>
    <xf numFmtId="0" fontId="1" fillId="5" borderId="9" xfId="0" applyFont="1" applyFill="1" applyBorder="1" applyProtection="1">
      <protection hidden="1"/>
    </xf>
    <xf numFmtId="0" fontId="1" fillId="7" borderId="8" xfId="0" applyFont="1" applyFill="1" applyBorder="1" applyProtection="1">
      <protection hidden="1"/>
    </xf>
    <xf numFmtId="0" fontId="1" fillId="7" borderId="9" xfId="0" applyFont="1" applyFill="1" applyBorder="1" applyProtection="1">
      <protection hidden="1"/>
    </xf>
    <xf numFmtId="0" fontId="4" fillId="0" borderId="10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1" fillId="2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1" fillId="8" borderId="7" xfId="0" applyFont="1" applyFill="1" applyBorder="1" applyProtection="1">
      <protection hidden="1"/>
    </xf>
    <xf numFmtId="0" fontId="1" fillId="8" borderId="9" xfId="0" applyFont="1" applyFill="1" applyBorder="1" applyProtection="1">
      <protection hidden="1"/>
    </xf>
    <xf numFmtId="0" fontId="1" fillId="8" borderId="11" xfId="0" applyFont="1" applyFill="1" applyBorder="1" applyProtection="1">
      <protection hidden="1"/>
    </xf>
    <xf numFmtId="0" fontId="0" fillId="11" borderId="0" xfId="0" applyFill="1" applyProtection="1">
      <protection hidden="1"/>
    </xf>
    <xf numFmtId="0" fontId="1" fillId="11" borderId="0" xfId="0" applyFont="1" applyFill="1" applyProtection="1">
      <protection hidden="1"/>
    </xf>
    <xf numFmtId="0" fontId="1" fillId="11" borderId="0" xfId="0" applyFont="1" applyFill="1" applyBorder="1" applyProtection="1">
      <protection hidden="1"/>
    </xf>
    <xf numFmtId="0" fontId="1" fillId="8" borderId="6" xfId="0" applyFont="1" applyFill="1" applyBorder="1" applyProtection="1">
      <protection hidden="1"/>
    </xf>
    <xf numFmtId="0" fontId="1" fillId="8" borderId="8" xfId="0" applyFont="1" applyFill="1" applyBorder="1" applyProtection="1">
      <protection hidden="1"/>
    </xf>
    <xf numFmtId="0" fontId="1" fillId="8" borderId="10" xfId="0" applyFont="1" applyFill="1" applyBorder="1" applyProtection="1">
      <protection hidden="1"/>
    </xf>
    <xf numFmtId="0" fontId="1" fillId="8" borderId="3" xfId="0" applyFont="1" applyFill="1" applyBorder="1" applyProtection="1">
      <protection hidden="1"/>
    </xf>
    <xf numFmtId="0" fontId="1" fillId="8" borderId="4" xfId="0" applyFont="1" applyFill="1" applyBorder="1" applyProtection="1">
      <protection hidden="1"/>
    </xf>
    <xf numFmtId="0" fontId="1" fillId="8" borderId="5" xfId="0" applyFont="1" applyFill="1" applyBorder="1" applyProtection="1">
      <protection hidden="1"/>
    </xf>
    <xf numFmtId="0" fontId="0" fillId="11" borderId="0" xfId="0" applyFill="1"/>
    <xf numFmtId="0" fontId="8" fillId="11" borderId="0" xfId="1" applyFill="1"/>
    <xf numFmtId="0" fontId="0" fillId="0" borderId="8" xfId="0" applyBorder="1" applyProtection="1">
      <protection hidden="1"/>
    </xf>
    <xf numFmtId="0" fontId="0" fillId="0" borderId="0" xfId="0" applyBorder="1" applyProtection="1">
      <protection hidden="1"/>
    </xf>
    <xf numFmtId="0" fontId="0" fillId="12" borderId="0" xfId="0" applyFill="1"/>
    <xf numFmtId="0" fontId="1" fillId="13" borderId="0" xfId="0" applyFont="1" applyFill="1" applyProtection="1">
      <protection hidden="1"/>
    </xf>
    <xf numFmtId="0" fontId="1" fillId="14" borderId="0" xfId="0" applyFont="1" applyFill="1" applyProtection="1">
      <protection hidden="1"/>
    </xf>
    <xf numFmtId="0" fontId="0" fillId="0" borderId="0" xfId="0" applyFont="1"/>
    <xf numFmtId="0" fontId="9" fillId="11" borderId="0" xfId="0" applyFont="1" applyFill="1"/>
    <xf numFmtId="0" fontId="0" fillId="11" borderId="0" xfId="0" applyFont="1" applyFill="1"/>
    <xf numFmtId="0" fontId="8" fillId="11" borderId="0" xfId="1" applyFill="1" applyAlignment="1">
      <alignment horizontal="center"/>
    </xf>
    <xf numFmtId="0" fontId="8" fillId="11" borderId="0" xfId="1" applyFill="1"/>
    <xf numFmtId="0" fontId="0" fillId="0" borderId="0" xfId="0" applyFont="1" applyBorder="1" applyAlignment="1">
      <alignment horizontal="left" wrapText="1"/>
    </xf>
    <xf numFmtId="0" fontId="0" fillId="11" borderId="0" xfId="0" applyFill="1" applyAlignment="1">
      <alignment horizontal="left" wrapText="1"/>
    </xf>
    <xf numFmtId="0" fontId="0" fillId="11" borderId="0" xfId="0" applyFill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8" fillId="11" borderId="0" xfId="1" applyFill="1" applyAlignment="1">
      <alignment vertical="top" wrapText="1"/>
    </xf>
    <xf numFmtId="0" fontId="8" fillId="11" borderId="0" xfId="1" applyFill="1" applyAlignment="1">
      <alignment horizontal="left"/>
    </xf>
    <xf numFmtId="0" fontId="1" fillId="11" borderId="6" xfId="0" applyFont="1" applyFill="1" applyBorder="1" applyAlignment="1" applyProtection="1">
      <alignment horizontal="center" vertical="top" wrapText="1"/>
      <protection hidden="1"/>
    </xf>
    <xf numFmtId="0" fontId="1" fillId="11" borderId="7" xfId="0" applyFont="1" applyFill="1" applyBorder="1" applyAlignment="1" applyProtection="1">
      <alignment horizontal="center" vertical="top" wrapText="1"/>
      <protection hidden="1"/>
    </xf>
    <xf numFmtId="0" fontId="1" fillId="11" borderId="10" xfId="0" applyFont="1" applyFill="1" applyBorder="1" applyAlignment="1" applyProtection="1">
      <alignment horizontal="center" vertical="top" wrapText="1"/>
      <protection hidden="1"/>
    </xf>
    <xf numFmtId="0" fontId="1" fillId="11" borderId="11" xfId="0" applyFont="1" applyFill="1" applyBorder="1" applyAlignment="1" applyProtection="1">
      <alignment horizontal="center" vertical="top" wrapText="1"/>
      <protection hidden="1"/>
    </xf>
    <xf numFmtId="0" fontId="1" fillId="6" borderId="13" xfId="0" applyFont="1" applyFill="1" applyBorder="1" applyProtection="1">
      <protection hidden="1"/>
    </xf>
    <xf numFmtId="0" fontId="1" fillId="6" borderId="14" xfId="0" applyFont="1" applyFill="1" applyBorder="1" applyProtection="1"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1" fillId="10" borderId="2" xfId="0" applyFont="1" applyFill="1" applyBorder="1" applyProtection="1">
      <protection hidden="1"/>
    </xf>
  </cellXfs>
  <cellStyles count="2">
    <cellStyle name="Hyperlink" xfId="1" builtinId="8"/>
    <cellStyle name="Normal" xfId="0" builtinId="0"/>
  </cellStyles>
  <dxfs count="2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00B0F0"/>
      </font>
    </dxf>
    <dxf>
      <font>
        <color rgb="FF0070C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theme="4" tint="0.39994506668294322"/>
      </font>
    </dxf>
    <dxf>
      <font>
        <color rgb="FF0070C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409576</xdr:colOff>
      <xdr:row>2</xdr:row>
      <xdr:rowOff>85725</xdr:rowOff>
    </xdr:from>
    <xdr:to>
      <xdr:col>8</xdr:col>
      <xdr:colOff>428625</xdr:colOff>
      <xdr:row>6</xdr:row>
      <xdr:rowOff>133350</xdr:rowOff>
    </xdr:to>
    <xdr:pic>
      <xdr:nvPicPr>
        <xdr:cNvPr id="2" name="Picture 1" descr="http://www.emu.ee/userfiles/logod/logode%20jpg%20failid/PK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409575"/>
          <a:ext cx="245744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k.emu.ee/struktuur/muld/teadustoo/huumusbilansi-kalkulaator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alar.astover@emu.ee" TargetMode="External"/><Relationship Id="rId1" Type="http://schemas.openxmlformats.org/officeDocument/2006/relationships/hyperlink" Target="mailto:enn.lauringson@emu.e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pk.emu.ee/struktuur/muld/teadustoo/huumusbilansi-kalkulaator/" TargetMode="External"/><Relationship Id="rId4" Type="http://schemas.openxmlformats.org/officeDocument/2006/relationships/hyperlink" Target="http://pk.emu.ee/userfiles/PKI/muld/Muldade_valiuurimine_veeb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130" zoomScaleNormal="130" workbookViewId="0">
      <pane ySplit="2" topLeftCell="A3" activePane="bottomLeft" state="frozen"/>
      <selection pane="bottomLeft" activeCell="A7" sqref="A7:B7"/>
    </sheetView>
  </sheetViews>
  <sheetFormatPr defaultRowHeight="12.75" x14ac:dyDescent="0.2"/>
  <cols>
    <col min="1" max="16384" width="9.140625" style="96"/>
  </cols>
  <sheetData>
    <row r="1" spans="1:4" x14ac:dyDescent="0.2">
      <c r="A1" s="104" t="s">
        <v>205</v>
      </c>
    </row>
    <row r="2" spans="1:4" x14ac:dyDescent="0.2">
      <c r="A2" s="104" t="s">
        <v>197</v>
      </c>
    </row>
    <row r="4" spans="1:4" x14ac:dyDescent="0.2">
      <c r="A4" s="96" t="s">
        <v>199</v>
      </c>
      <c r="C4" s="97" t="s">
        <v>198</v>
      </c>
    </row>
    <row r="5" spans="1:4" x14ac:dyDescent="0.2">
      <c r="C5" s="97" t="s">
        <v>200</v>
      </c>
    </row>
    <row r="6" spans="1:4" x14ac:dyDescent="0.2">
      <c r="C6" s="97"/>
    </row>
    <row r="7" spans="1:4" x14ac:dyDescent="0.2">
      <c r="A7" s="107" t="s">
        <v>196</v>
      </c>
      <c r="B7" s="107"/>
    </row>
    <row r="9" spans="1:4" x14ac:dyDescent="0.2">
      <c r="A9" s="106" t="s">
        <v>210</v>
      </c>
      <c r="B9" s="106"/>
      <c r="C9" s="106"/>
      <c r="D9" s="106"/>
    </row>
    <row r="11" spans="1:4" x14ac:dyDescent="0.2">
      <c r="A11" s="103" t="s">
        <v>208</v>
      </c>
    </row>
    <row r="12" spans="1:4" x14ac:dyDescent="0.2">
      <c r="A12" s="96" t="s">
        <v>206</v>
      </c>
    </row>
    <row r="13" spans="1:4" x14ac:dyDescent="0.2">
      <c r="A13" s="96" t="s">
        <v>209</v>
      </c>
    </row>
    <row r="15" spans="1:4" x14ac:dyDescent="0.2">
      <c r="A15" s="104" t="s">
        <v>207</v>
      </c>
    </row>
    <row r="16" spans="1:4" x14ac:dyDescent="0.2">
      <c r="A16" s="105" t="s">
        <v>218</v>
      </c>
    </row>
    <row r="17" spans="1:9" x14ac:dyDescent="0.2">
      <c r="A17" s="108" t="s">
        <v>219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">
      <c r="A18" s="108"/>
      <c r="B18" s="108"/>
      <c r="C18" s="108"/>
      <c r="D18" s="108"/>
      <c r="E18" s="108"/>
      <c r="F18" s="108"/>
      <c r="G18" s="108"/>
      <c r="H18" s="108"/>
      <c r="I18" s="108"/>
    </row>
    <row r="19" spans="1:9" x14ac:dyDescent="0.2">
      <c r="A19" s="108"/>
      <c r="B19" s="108"/>
      <c r="C19" s="108"/>
      <c r="D19" s="108"/>
      <c r="E19" s="108"/>
      <c r="F19" s="108"/>
      <c r="G19" s="108"/>
      <c r="H19" s="108"/>
      <c r="I19" s="108"/>
    </row>
    <row r="20" spans="1:9" x14ac:dyDescent="0.2">
      <c r="A20" s="108" t="s">
        <v>220</v>
      </c>
      <c r="B20" s="108"/>
      <c r="C20" s="108"/>
      <c r="D20" s="108"/>
      <c r="E20" s="108"/>
      <c r="F20" s="108"/>
      <c r="G20" s="108"/>
      <c r="H20" s="108"/>
      <c r="I20" s="108"/>
    </row>
    <row r="21" spans="1:9" x14ac:dyDescent="0.2">
      <c r="A21" s="108"/>
      <c r="B21" s="108"/>
      <c r="C21" s="108"/>
      <c r="D21" s="108"/>
      <c r="E21" s="108"/>
      <c r="F21" s="108"/>
      <c r="G21" s="108"/>
      <c r="H21" s="108"/>
      <c r="I21" s="108"/>
    </row>
    <row r="22" spans="1:9" x14ac:dyDescent="0.2">
      <c r="A22" s="108"/>
      <c r="B22" s="108"/>
      <c r="C22" s="108"/>
      <c r="D22" s="108"/>
      <c r="E22" s="108"/>
      <c r="F22" s="108"/>
      <c r="G22" s="108"/>
      <c r="H22" s="108"/>
      <c r="I22" s="108"/>
    </row>
    <row r="23" spans="1:9" x14ac:dyDescent="0.2">
      <c r="A23" s="109" t="s">
        <v>221</v>
      </c>
      <c r="B23" s="109"/>
      <c r="C23" s="109"/>
      <c r="D23" s="109"/>
      <c r="E23" s="109"/>
      <c r="F23" s="109"/>
      <c r="G23" s="109"/>
      <c r="H23" s="109"/>
      <c r="I23" s="109"/>
    </row>
    <row r="24" spans="1:9" x14ac:dyDescent="0.2">
      <c r="A24" s="109"/>
      <c r="B24" s="109"/>
      <c r="C24" s="109"/>
      <c r="D24" s="109"/>
      <c r="E24" s="109"/>
      <c r="F24" s="109"/>
      <c r="G24" s="109"/>
      <c r="H24" s="109"/>
      <c r="I24" s="109"/>
    </row>
    <row r="25" spans="1:9" x14ac:dyDescent="0.2">
      <c r="A25" s="109"/>
      <c r="B25" s="109"/>
      <c r="C25" s="109"/>
      <c r="D25" s="109"/>
      <c r="E25" s="109"/>
      <c r="F25" s="109"/>
      <c r="G25" s="109"/>
      <c r="H25" s="109"/>
      <c r="I25" s="109"/>
    </row>
    <row r="26" spans="1:9" x14ac:dyDescent="0.2">
      <c r="A26" s="100" t="s">
        <v>222</v>
      </c>
      <c r="B26" s="100"/>
      <c r="C26" s="100"/>
      <c r="D26" s="100"/>
      <c r="E26" s="100"/>
      <c r="F26" s="100"/>
      <c r="G26" s="100"/>
      <c r="H26" s="100"/>
      <c r="I26" s="100"/>
    </row>
    <row r="27" spans="1:9" x14ac:dyDescent="0.2">
      <c r="A27" s="111" t="s">
        <v>211</v>
      </c>
      <c r="B27" s="111"/>
      <c r="C27" s="111"/>
      <c r="D27" s="111"/>
      <c r="E27" s="111"/>
      <c r="F27" s="111"/>
      <c r="G27" s="111"/>
      <c r="H27" s="111"/>
      <c r="I27" s="111"/>
    </row>
    <row r="28" spans="1:9" x14ac:dyDescent="0.2">
      <c r="A28" s="111"/>
      <c r="B28" s="111"/>
      <c r="C28" s="111"/>
      <c r="D28" s="111"/>
      <c r="E28" s="111"/>
      <c r="F28" s="111"/>
      <c r="G28" s="111"/>
      <c r="H28" s="111"/>
      <c r="I28" s="111"/>
    </row>
    <row r="29" spans="1:9" x14ac:dyDescent="0.2">
      <c r="A29" s="96" t="s">
        <v>214</v>
      </c>
    </row>
    <row r="30" spans="1:9" x14ac:dyDescent="0.2">
      <c r="A30" s="96" t="s">
        <v>213</v>
      </c>
    </row>
    <row r="31" spans="1:9" x14ac:dyDescent="0.2">
      <c r="A31" s="110" t="s">
        <v>215</v>
      </c>
      <c r="B31" s="110"/>
      <c r="C31" s="110"/>
      <c r="D31" s="110"/>
      <c r="E31" s="110"/>
      <c r="F31" s="110"/>
      <c r="G31" s="110"/>
      <c r="H31" s="110"/>
      <c r="I31" s="110"/>
    </row>
    <row r="32" spans="1:9" ht="7.5" customHeight="1" x14ac:dyDescent="0.2">
      <c r="A32" s="110"/>
      <c r="B32" s="110"/>
      <c r="C32" s="110"/>
      <c r="D32" s="110"/>
      <c r="E32" s="110"/>
      <c r="F32" s="110"/>
      <c r="G32" s="110"/>
      <c r="H32" s="110"/>
      <c r="I32" s="110"/>
    </row>
    <row r="33" spans="1:9" ht="7.5" customHeight="1" x14ac:dyDescent="0.2">
      <c r="A33" s="110"/>
      <c r="B33" s="110"/>
      <c r="C33" s="110"/>
      <c r="D33" s="110"/>
      <c r="E33" s="110"/>
      <c r="F33" s="110"/>
      <c r="G33" s="110"/>
      <c r="H33" s="110"/>
      <c r="I33" s="110"/>
    </row>
    <row r="34" spans="1:9" ht="13.5" customHeight="1" x14ac:dyDescent="0.2">
      <c r="A34" s="112" t="s">
        <v>216</v>
      </c>
      <c r="B34" s="112"/>
      <c r="C34" s="112"/>
      <c r="D34" s="112"/>
      <c r="E34" s="112"/>
      <c r="F34" s="112"/>
      <c r="G34" s="112"/>
      <c r="H34" s="112"/>
      <c r="I34" s="112"/>
    </row>
    <row r="35" spans="1:9" x14ac:dyDescent="0.2">
      <c r="A35" s="96" t="s">
        <v>212</v>
      </c>
    </row>
    <row r="36" spans="1:9" x14ac:dyDescent="0.2">
      <c r="A36" s="96" t="s">
        <v>217</v>
      </c>
    </row>
    <row r="37" spans="1:9" x14ac:dyDescent="0.2">
      <c r="A37" s="113" t="s">
        <v>223</v>
      </c>
      <c r="B37" s="113"/>
      <c r="C37" s="113"/>
      <c r="D37" s="113"/>
      <c r="E37" s="113"/>
      <c r="F37" s="113"/>
      <c r="G37" s="113"/>
      <c r="H37" s="113"/>
      <c r="I37" s="113"/>
    </row>
    <row r="38" spans="1:9" x14ac:dyDescent="0.2">
      <c r="A38" s="110" t="s">
        <v>224</v>
      </c>
      <c r="B38" s="110"/>
      <c r="C38" s="110"/>
      <c r="D38" s="110"/>
      <c r="E38" s="110"/>
      <c r="F38" s="110"/>
      <c r="G38" s="110"/>
      <c r="H38" s="110"/>
      <c r="I38" s="110"/>
    </row>
    <row r="39" spans="1:9" x14ac:dyDescent="0.2">
      <c r="A39" s="110"/>
      <c r="B39" s="110"/>
      <c r="C39" s="110"/>
      <c r="D39" s="110"/>
      <c r="E39" s="110"/>
      <c r="F39" s="110"/>
      <c r="G39" s="110"/>
      <c r="H39" s="110"/>
      <c r="I39" s="110"/>
    </row>
    <row r="40" spans="1:9" x14ac:dyDescent="0.2">
      <c r="A40" s="110"/>
      <c r="B40" s="110"/>
      <c r="C40" s="110"/>
      <c r="D40" s="110"/>
      <c r="E40" s="110"/>
      <c r="F40" s="110"/>
      <c r="G40" s="110"/>
      <c r="H40" s="110"/>
      <c r="I40" s="110"/>
    </row>
  </sheetData>
  <sheetProtection password="80F0" sheet="1" objects="1" scenarios="1" selectLockedCells="1"/>
  <mergeCells count="10">
    <mergeCell ref="A38:I40"/>
    <mergeCell ref="A27:I28"/>
    <mergeCell ref="A31:I33"/>
    <mergeCell ref="A34:I34"/>
    <mergeCell ref="A37:I37"/>
    <mergeCell ref="A9:D9"/>
    <mergeCell ref="A7:B7"/>
    <mergeCell ref="A17:I19"/>
    <mergeCell ref="A20:I22"/>
    <mergeCell ref="A23:I25"/>
  </mergeCells>
  <hyperlinks>
    <hyperlink ref="A7" location="Kalkulaator!A1" display="Kasuta kalkulaatorit"/>
    <hyperlink ref="C4" r:id="rId1"/>
    <hyperlink ref="C5" r:id="rId2"/>
    <hyperlink ref="A9" r:id="rId3"/>
    <hyperlink ref="A34:I34" r:id="rId4" display="&quot;Muldade väliuurimine&quot;: lk 66 juhend digitaalse mullakaardi kasutamiseks Maa-ameti veebirakenduses."/>
    <hyperlink ref="A37" r:id="rId5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85"/>
  <sheetViews>
    <sheetView tabSelected="1" workbookViewId="0">
      <pane ySplit="3" topLeftCell="A4" activePane="bottomLeft" state="frozen"/>
      <selection pane="bottomLeft" activeCell="D10" sqref="D10"/>
    </sheetView>
  </sheetViews>
  <sheetFormatPr defaultRowHeight="12.75" x14ac:dyDescent="0.2"/>
  <cols>
    <col min="1" max="1" width="7.85546875" style="51" bestFit="1" customWidth="1"/>
    <col min="2" max="2" width="10" style="51" bestFit="1" customWidth="1"/>
    <col min="3" max="3" width="19.140625" style="51" bestFit="1" customWidth="1"/>
    <col min="4" max="4" width="32.5703125" style="51" bestFit="1" customWidth="1"/>
    <col min="5" max="5" width="8.140625" style="51" bestFit="1" customWidth="1"/>
    <col min="6" max="6" width="10.7109375" style="51" bestFit="1" customWidth="1"/>
    <col min="7" max="7" width="9.7109375" style="51" bestFit="1" customWidth="1"/>
    <col min="8" max="8" width="11.85546875" style="51" bestFit="1" customWidth="1"/>
    <col min="9" max="9" width="14.5703125" style="51" bestFit="1" customWidth="1"/>
    <col min="10" max="10" width="9.5703125" style="51" bestFit="1" customWidth="1"/>
    <col min="11" max="11" width="20.85546875" style="51" bestFit="1" customWidth="1"/>
    <col min="12" max="12" width="9.5703125" style="51" customWidth="1"/>
    <col min="13" max="13" width="26.5703125" style="51" customWidth="1"/>
    <col min="14" max="14" width="24.140625" style="51" bestFit="1" customWidth="1"/>
    <col min="15" max="15" width="17.7109375" style="51" bestFit="1" customWidth="1"/>
    <col min="16" max="16" width="22.140625" style="51" bestFit="1" customWidth="1"/>
    <col min="17" max="17" width="17.28515625" style="51" bestFit="1" customWidth="1"/>
    <col min="18" max="18" width="26.85546875" style="51" bestFit="1" customWidth="1"/>
    <col min="19" max="19" width="11.28515625" style="51" bestFit="1" customWidth="1"/>
    <col min="20" max="20" width="13.140625" style="51" customWidth="1"/>
    <col min="21" max="21" width="8.42578125" style="51" bestFit="1" customWidth="1"/>
    <col min="22" max="22" width="22.7109375" style="51" bestFit="1" customWidth="1"/>
    <col min="23" max="23" width="26.85546875" style="51" bestFit="1" customWidth="1"/>
    <col min="24" max="24" width="37" style="51" bestFit="1" customWidth="1"/>
    <col min="25" max="25" width="104" style="51" customWidth="1"/>
    <col min="26" max="26" width="106.140625" style="51" customWidth="1"/>
    <col min="27" max="27" width="9.140625" style="51"/>
    <col min="28" max="93" width="9.140625" style="51" hidden="1" customWidth="1"/>
    <col min="94" max="16384" width="9.140625" style="51"/>
  </cols>
  <sheetData>
    <row r="1" spans="1:99" ht="15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114" t="s">
        <v>204</v>
      </c>
      <c r="U1" s="115"/>
      <c r="V1" s="50" t="s">
        <v>24</v>
      </c>
      <c r="W1" s="50" t="s">
        <v>25</v>
      </c>
      <c r="X1" s="50" t="s">
        <v>188</v>
      </c>
      <c r="Y1" s="24" t="s">
        <v>190</v>
      </c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</row>
    <row r="2" spans="1:99" ht="15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116"/>
      <c r="U2" s="117"/>
      <c r="V2" s="65">
        <f>AB57/$E57</f>
        <v>82.659614399999995</v>
      </c>
      <c r="W2" s="64">
        <f>AC57/$E57</f>
        <v>1092.4336552866328</v>
      </c>
      <c r="X2" s="66">
        <f>AD57/$E57</f>
        <v>1.32160507064576</v>
      </c>
      <c r="Y2" s="63" t="str">
        <f>IF(W2&lt;&gt;"",IF(W2&lt;BY$62,BZ$62,IF(W2&lt;BY$63,BZ$63,IF(W2&lt;BY$64,BZ$64,IF(W2&lt;BY$65,BZ$65,BZ$66)))),"")</f>
        <v>Väga kõrge, suureneb lämmastiku leostumise oht</v>
      </c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</row>
    <row r="3" spans="1:99" ht="15" x14ac:dyDescent="0.25">
      <c r="A3" s="102" t="s">
        <v>201</v>
      </c>
      <c r="B3" s="102"/>
      <c r="C3" s="102"/>
      <c r="D3" s="101" t="s">
        <v>0</v>
      </c>
      <c r="E3" s="101"/>
      <c r="F3" s="101"/>
      <c r="G3" s="101"/>
      <c r="H3" s="101"/>
      <c r="I3" s="102" t="s">
        <v>149</v>
      </c>
      <c r="J3" s="102"/>
      <c r="K3" s="101" t="s">
        <v>202</v>
      </c>
      <c r="L3" s="101"/>
      <c r="M3" s="101"/>
      <c r="N3" s="101"/>
      <c r="O3" s="101"/>
      <c r="P3" s="101"/>
      <c r="Q3" s="102" t="s">
        <v>2</v>
      </c>
      <c r="R3" s="102"/>
      <c r="S3" s="102"/>
      <c r="T3" s="102"/>
      <c r="U3" s="102"/>
      <c r="V3" s="101" t="s">
        <v>203</v>
      </c>
      <c r="W3" s="101"/>
      <c r="X3" s="101"/>
      <c r="Y3" s="101"/>
      <c r="Z3" s="101"/>
      <c r="AA3" s="87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CP3" s="87"/>
      <c r="CQ3" s="87"/>
      <c r="CR3" s="87"/>
      <c r="CS3" s="87"/>
      <c r="CT3" s="87"/>
      <c r="CU3" s="87"/>
    </row>
    <row r="4" spans="1:99" ht="17.25" x14ac:dyDescent="0.25">
      <c r="A4" s="120" t="s">
        <v>140</v>
      </c>
      <c r="B4" s="120"/>
      <c r="C4" s="120"/>
      <c r="D4" s="78" t="s">
        <v>0</v>
      </c>
      <c r="E4" s="78"/>
      <c r="F4" s="78"/>
      <c r="G4" s="78"/>
      <c r="H4" s="78"/>
      <c r="I4" s="121" t="s">
        <v>149</v>
      </c>
      <c r="J4" s="121"/>
      <c r="K4" s="79" t="s">
        <v>1</v>
      </c>
      <c r="L4" s="79"/>
      <c r="M4" s="79"/>
      <c r="N4" s="79"/>
      <c r="O4" s="79"/>
      <c r="P4" s="79"/>
      <c r="Q4" s="80" t="s">
        <v>2</v>
      </c>
      <c r="R4" s="80"/>
      <c r="S4" s="80"/>
      <c r="T4" s="80"/>
      <c r="U4" s="80"/>
      <c r="V4" s="52" t="s">
        <v>3</v>
      </c>
      <c r="W4" s="52"/>
      <c r="X4" s="52"/>
      <c r="Y4" s="52"/>
      <c r="Z4" s="52"/>
      <c r="AA4" s="87"/>
      <c r="AB4" s="2" t="s">
        <v>185</v>
      </c>
      <c r="AC4" s="2"/>
      <c r="AD4" s="2"/>
      <c r="AF4" s="2" t="s">
        <v>4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O4" s="1" t="s">
        <v>8</v>
      </c>
      <c r="BP4" s="1" t="s">
        <v>12</v>
      </c>
      <c r="BQ4" s="1" t="s">
        <v>22</v>
      </c>
      <c r="BR4" s="1" t="s">
        <v>48</v>
      </c>
      <c r="BS4" s="1" t="s">
        <v>49</v>
      </c>
      <c r="BT4" s="1" t="s">
        <v>50</v>
      </c>
      <c r="BU4" s="1" t="s">
        <v>23</v>
      </c>
      <c r="BV4" s="1" t="s">
        <v>124</v>
      </c>
      <c r="BW4" s="1" t="s">
        <v>51</v>
      </c>
      <c r="BX4" s="1"/>
      <c r="BY4" s="1" t="s">
        <v>52</v>
      </c>
      <c r="BZ4" s="1" t="s">
        <v>48</v>
      </c>
      <c r="CA4" s="1" t="s">
        <v>53</v>
      </c>
      <c r="CB4" s="1" t="s">
        <v>54</v>
      </c>
      <c r="CC4" s="1" t="s">
        <v>122</v>
      </c>
      <c r="CD4" s="3"/>
      <c r="CE4" s="1"/>
      <c r="CH4" s="1"/>
      <c r="CI4" s="1"/>
      <c r="CJ4" s="1"/>
      <c r="CK4" s="1"/>
      <c r="CL4" s="1"/>
      <c r="CM4" s="1"/>
      <c r="CN4" s="1"/>
      <c r="CO4" s="1"/>
      <c r="CP4" s="87"/>
      <c r="CQ4" s="87"/>
      <c r="CR4" s="87"/>
      <c r="CS4" s="87"/>
      <c r="CT4" s="87"/>
      <c r="CU4" s="87"/>
    </row>
    <row r="5" spans="1:99" ht="17.25" x14ac:dyDescent="0.25">
      <c r="A5" s="50" t="s">
        <v>5</v>
      </c>
      <c r="B5" s="50" t="s">
        <v>6</v>
      </c>
      <c r="C5" s="50" t="s">
        <v>7</v>
      </c>
      <c r="D5" s="50" t="s">
        <v>8</v>
      </c>
      <c r="E5" s="50" t="s">
        <v>9</v>
      </c>
      <c r="F5" s="50" t="s">
        <v>10</v>
      </c>
      <c r="G5" s="50" t="s">
        <v>128</v>
      </c>
      <c r="H5" s="50" t="s">
        <v>12</v>
      </c>
      <c r="I5" s="50" t="s">
        <v>184</v>
      </c>
      <c r="J5" s="50" t="s">
        <v>148</v>
      </c>
      <c r="K5" s="50" t="s">
        <v>15</v>
      </c>
      <c r="L5" s="118" t="s">
        <v>181</v>
      </c>
      <c r="M5" s="119"/>
      <c r="N5" s="50" t="s">
        <v>16</v>
      </c>
      <c r="O5" s="50" t="s">
        <v>17</v>
      </c>
      <c r="P5" s="50" t="s">
        <v>158</v>
      </c>
      <c r="Q5" s="50" t="s">
        <v>19</v>
      </c>
      <c r="R5" s="50" t="s">
        <v>20</v>
      </c>
      <c r="S5" s="50" t="s">
        <v>21</v>
      </c>
      <c r="T5" s="50" t="s">
        <v>22</v>
      </c>
      <c r="U5" s="50" t="s">
        <v>23</v>
      </c>
      <c r="V5" s="50" t="s">
        <v>24</v>
      </c>
      <c r="W5" s="50" t="s">
        <v>25</v>
      </c>
      <c r="X5" s="50" t="s">
        <v>188</v>
      </c>
      <c r="Y5" s="47" t="s">
        <v>190</v>
      </c>
      <c r="Z5" s="24" t="s">
        <v>126</v>
      </c>
      <c r="AA5" s="87"/>
      <c r="AB5" s="26"/>
      <c r="AC5" s="17"/>
      <c r="AD5" s="25"/>
      <c r="AF5" s="50" t="s">
        <v>187</v>
      </c>
      <c r="AG5" s="50" t="s">
        <v>86</v>
      </c>
      <c r="AH5" s="50" t="s">
        <v>18</v>
      </c>
      <c r="AI5" s="50" t="s">
        <v>11</v>
      </c>
      <c r="AJ5" s="20" t="s">
        <v>26</v>
      </c>
      <c r="AK5" s="15" t="s">
        <v>27</v>
      </c>
      <c r="AL5" s="18" t="s">
        <v>28</v>
      </c>
      <c r="AM5" s="15" t="s">
        <v>29</v>
      </c>
      <c r="AN5" s="16" t="s">
        <v>30</v>
      </c>
      <c r="AO5" s="16" t="s">
        <v>31</v>
      </c>
      <c r="AP5" s="16" t="s">
        <v>33</v>
      </c>
      <c r="AQ5" s="16" t="s">
        <v>125</v>
      </c>
      <c r="AR5" s="17"/>
      <c r="AS5" s="16" t="s">
        <v>161</v>
      </c>
      <c r="AT5" s="26" t="s">
        <v>177</v>
      </c>
      <c r="AU5" s="17" t="s">
        <v>158</v>
      </c>
      <c r="AV5" s="18" t="s">
        <v>34</v>
      </c>
      <c r="AW5" s="15" t="s">
        <v>35</v>
      </c>
      <c r="AX5" s="16" t="s">
        <v>36</v>
      </c>
      <c r="AY5" s="16" t="s">
        <v>37</v>
      </c>
      <c r="AZ5" s="17" t="s">
        <v>123</v>
      </c>
      <c r="BA5" s="18" t="s">
        <v>38</v>
      </c>
      <c r="BB5" s="15" t="s">
        <v>167</v>
      </c>
      <c r="BC5" s="47" t="s">
        <v>151</v>
      </c>
      <c r="BD5" s="26" t="s">
        <v>132</v>
      </c>
      <c r="BE5" s="17" t="s">
        <v>133</v>
      </c>
      <c r="BF5" s="17" t="s">
        <v>134</v>
      </c>
      <c r="BG5" s="17" t="s">
        <v>135</v>
      </c>
      <c r="BH5" s="17" t="s">
        <v>137</v>
      </c>
      <c r="BI5" s="25" t="s">
        <v>136</v>
      </c>
      <c r="BJ5" s="47" t="s">
        <v>176</v>
      </c>
      <c r="BK5" s="26" t="s">
        <v>139</v>
      </c>
      <c r="BL5" s="25" t="s">
        <v>138</v>
      </c>
      <c r="BO5" s="6" t="s">
        <v>39</v>
      </c>
      <c r="BP5" s="23" t="s">
        <v>40</v>
      </c>
      <c r="BQ5" s="4" t="s">
        <v>40</v>
      </c>
      <c r="BR5" s="4">
        <v>247.6498</v>
      </c>
      <c r="BS5" s="4">
        <v>-2.6294</v>
      </c>
      <c r="BT5" s="4">
        <f>-0.2555*1000</f>
        <v>-255.5</v>
      </c>
      <c r="BU5" s="4">
        <v>0</v>
      </c>
      <c r="BV5" s="4">
        <v>0</v>
      </c>
      <c r="BW5" s="9">
        <v>0</v>
      </c>
      <c r="BX5" s="3"/>
      <c r="BY5" s="23" t="s">
        <v>44</v>
      </c>
      <c r="BZ5" s="23">
        <v>0</v>
      </c>
      <c r="CA5" s="4">
        <v>0</v>
      </c>
      <c r="CB5" s="4">
        <v>0</v>
      </c>
      <c r="CC5" s="9">
        <v>0</v>
      </c>
      <c r="CD5" s="3"/>
      <c r="CE5" s="1"/>
      <c r="CH5" s="1"/>
      <c r="CI5" s="1"/>
      <c r="CJ5" s="1"/>
      <c r="CK5" s="1"/>
      <c r="CL5" s="1"/>
      <c r="CM5" s="1"/>
      <c r="CN5" s="1"/>
      <c r="CO5" s="1"/>
      <c r="CP5" s="87"/>
      <c r="CQ5" s="87"/>
      <c r="CR5" s="87"/>
      <c r="CS5" s="87"/>
      <c r="CT5" s="87"/>
      <c r="CU5" s="87"/>
    </row>
    <row r="6" spans="1:99" ht="15" x14ac:dyDescent="0.25">
      <c r="A6" s="29"/>
      <c r="B6" s="30"/>
      <c r="C6" s="30"/>
      <c r="D6" s="29" t="s">
        <v>46</v>
      </c>
      <c r="E6" s="30">
        <v>20</v>
      </c>
      <c r="F6" s="30"/>
      <c r="G6" s="30">
        <v>4</v>
      </c>
      <c r="H6" s="30" t="s">
        <v>45</v>
      </c>
      <c r="I6" s="29"/>
      <c r="J6" s="41"/>
      <c r="K6" s="30" t="s">
        <v>42</v>
      </c>
      <c r="L6" s="30" t="s">
        <v>179</v>
      </c>
      <c r="M6" s="30">
        <v>2.2000000000000002</v>
      </c>
      <c r="N6" s="30">
        <v>27</v>
      </c>
      <c r="O6" s="30" t="s">
        <v>43</v>
      </c>
      <c r="P6" s="38" t="s">
        <v>160</v>
      </c>
      <c r="Q6" s="29" t="s">
        <v>44</v>
      </c>
      <c r="R6" s="30"/>
      <c r="S6" s="30"/>
      <c r="T6" s="30" t="s">
        <v>40</v>
      </c>
      <c r="U6" s="38"/>
      <c r="V6" s="53">
        <f t="shared" ref="V6:V15" si="0">IFERROR(10000*(N6/100)*AH6*AJ6*AG6%,"")</f>
        <v>82.659614399999995</v>
      </c>
      <c r="W6" s="53">
        <f t="shared" ref="W6:W15" si="1">IFERROR(AV6+BA6+BC6,"")</f>
        <v>-483.63193298368486</v>
      </c>
      <c r="X6" s="54">
        <f t="shared" ref="X6:X15" si="2">IF(AND(V6&lt;&gt;"",W6&lt;&gt;""),W6/(V6*1000)*100,"")</f>
        <v>-0.58508854232410368</v>
      </c>
      <c r="Y6" s="6" t="str">
        <f>IF(W6&lt;&gt;"",IF(W6&lt;BY$62,BZ$62,IF(W6&lt;BY$63,BZ$63,IF(W6&lt;BY$64,BZ$64,IF(W6&lt;BY$65,BZ$65,BZ$66)))),"")</f>
        <v>Väga madal, negatiivne mõju mullaviljakusele ja saagikusele</v>
      </c>
      <c r="Z6" s="31" t="str">
        <f t="shared" ref="Z6:Z15" si="3">IFERROR(IF(BL6=1,$BZ$58,""),"")</f>
        <v>Nii huumusvaesel mullal on väetamiseta nii suure saagi saamine ebatõenäoline. Mudel võib ülehinnata huumuse kulu.</v>
      </c>
      <c r="AA6" s="87"/>
      <c r="AB6" s="70">
        <f>IFERROR($E6*V6,"")</f>
        <v>1653.192288</v>
      </c>
      <c r="AC6" s="69">
        <f t="shared" ref="AC6:AD15" si="4">IFERROR($E6*W6,"")</f>
        <v>-9672.6386596736975</v>
      </c>
      <c r="AD6" s="34">
        <f t="shared" si="4"/>
        <v>-11.701770846482074</v>
      </c>
      <c r="AF6" s="81">
        <f t="shared" ref="AF6:AF15" si="5">VLOOKUP(K6,BY$29:CB$34,4,0)</f>
        <v>0.96</v>
      </c>
      <c r="AG6" s="6">
        <f t="shared" ref="AG6:AG15" si="6">VLOOKUP(L6,$BY$43:$BZ$44,2,0)*M6</f>
        <v>2.2000000000000002</v>
      </c>
      <c r="AH6" s="6">
        <f t="shared" ref="AH6:AH15" si="7">AK6+AL6*AG6</f>
        <v>1.4803999999999999</v>
      </c>
      <c r="AI6" s="6">
        <f t="shared" ref="AI6:AI15" si="8">$G6*$BB6</f>
        <v>3.44</v>
      </c>
      <c r="AJ6" s="7">
        <f t="shared" ref="AJ6:AJ15" si="9">VLOOKUP(O6,BY$47:BZ$53,2,0)</f>
        <v>0.94</v>
      </c>
      <c r="AK6" s="10">
        <f t="shared" ref="AK6:AK15" si="10">VLOOKUP(K6,BY$29:CA$34,2,0)</f>
        <v>1.63</v>
      </c>
      <c r="AL6" s="11">
        <f t="shared" ref="AL6:AL15" si="11">VLOOKUP(K6,BY$29:CA$34,3,0)</f>
        <v>-6.8000000000000005E-2</v>
      </c>
      <c r="AM6" s="21">
        <f t="array" ref="AM6">INDEX(BO$5:BU$85,MATCH(1,(BO$5:BO$85=D6)*(BP$5:BP$85=H6)*(BQ$5:BQ$85=T6),0),4)</f>
        <v>49.900489999999998</v>
      </c>
      <c r="AN6" s="14">
        <f t="array" ref="AN6">INDEX(BO$5:BU$85,MATCH(1,(BO$5:BO$85=D6)*(BP$5:BP$85=H6)*(BQ$5:BQ$85=T6),0),5)</f>
        <v>-2.0548600000000001</v>
      </c>
      <c r="AO6" s="14">
        <f t="array" ref="AO6">INDEX(BO$5:BU$85,MATCH(1,(BO$5:BO$85=D6)*(BP$5:BP$85=H6)*(BQ$5:BQ$85=T6),0),6)</f>
        <v>-113.12</v>
      </c>
      <c r="AP6" s="14">
        <f t="array" ref="AP6">INDEX(BO$5:BU$85,MATCH(1,(BO$5:BO$85=D6)*(BP$5:BP$85=H6)*(BQ$5:BQ$85=T6),0),7)</f>
        <v>0</v>
      </c>
      <c r="AQ6" s="14">
        <f t="array" ref="AQ6">INDEX(BO$5:BV$85,MATCH(1,(BO$5:BO$85=D6)*(BP$5:BP$85=H6)*(BQ$5:BQ$85=T6),0),8)</f>
        <v>0</v>
      </c>
      <c r="AR6" s="3"/>
      <c r="AS6" s="3">
        <f t="shared" ref="AS6:AS15" si="12">AM6+V6*AN6+AI6*AO6+AP6*U6+AQ6*U6*U6</f>
        <v>-509.08624524598406</v>
      </c>
      <c r="AT6" s="10">
        <f t="shared" ref="AT6:AT15" si="13">IF(BK6=1,BJ6,AS6)</f>
        <v>-509.08624524598406</v>
      </c>
      <c r="AU6" s="3">
        <f t="shared" ref="AU6:AU15" si="14">VLOOKUP(P6,$CH$44:$CI$45,2,0)</f>
        <v>0.05</v>
      </c>
      <c r="AV6" s="11">
        <f t="shared" ref="AV6:AV15" si="15">AT6+ABS(AT6*AU6)</f>
        <v>-483.63193298368486</v>
      </c>
      <c r="AW6" s="10">
        <f t="shared" ref="AW6:AW15" si="16">VLOOKUP(Q6,BY$5:CB$25,2,0)</f>
        <v>0</v>
      </c>
      <c r="AX6" s="3">
        <f t="shared" ref="AX6:AX15" si="17">VLOOKUP(Q6,BY$5:CB$25,3,0)</f>
        <v>0</v>
      </c>
      <c r="AY6" s="3">
        <f t="shared" ref="AY6:AY15" si="18">VLOOKUP(Q6,BY$5:CB$25,4,0)</f>
        <v>0</v>
      </c>
      <c r="AZ6" s="3">
        <f t="shared" ref="AZ6:AZ15" si="19">VLOOKUP(Q6,BY$5:CD$25,5,0)*120</f>
        <v>0</v>
      </c>
      <c r="BA6" s="11">
        <f t="shared" ref="BA6:BA15" si="20">(((AW6+S6*AX6+R6*AY6)*R6)+AZ6)*AF6</f>
        <v>0</v>
      </c>
      <c r="BB6" s="10">
        <f t="shared" ref="BB6:BB15" si="21">VLOOKUP($D6,$CF$15:$CG$32,2,0)</f>
        <v>0.86</v>
      </c>
      <c r="BC6" s="7">
        <f t="shared" ref="BC6:BC15" si="22">IF(AND($I6&lt;&gt;"",$J6&lt;&gt;""),IF($I6="ei",VLOOKUP($J6,$CH$39:$CJ$41,2,0),VLOOKUP($J6,$CH$39:$CJ$41,3,0)),0)</f>
        <v>0</v>
      </c>
      <c r="BD6" s="10">
        <f t="shared" ref="BD6:BD15" si="23">VLOOKUP($D6,$CF$15:$CK$32,3,0)</f>
        <v>3.1899999999999998E-2</v>
      </c>
      <c r="BE6" s="3">
        <f t="shared" ref="BE6:BE15" si="24">VLOOKUP($D6,$CF$15:$CK$32,4,0)</f>
        <v>-0.49940000000000001</v>
      </c>
      <c r="BF6" s="3">
        <f t="shared" ref="BF6:BF15" si="25">VLOOKUP($D6,$CF$15:$CK$32,5,0)</f>
        <v>2.5729000000000002</v>
      </c>
      <c r="BG6" s="3">
        <f t="shared" ref="BG6:BG15" si="26">VLOOKUP($D6,$CF$15:$CK$32,6,0)</f>
        <v>-0.85860000000000003</v>
      </c>
      <c r="BH6" s="3">
        <f t="shared" ref="BH6:BH15" si="27">VLOOKUP($D6,$CF$15:$CL$32,7,0)</f>
        <v>3.5</v>
      </c>
      <c r="BI6" s="27">
        <f t="shared" ref="BI6:BI15" si="28">IF(AG6&gt;6,BH6,BD6*AG6*AG6*AG6+BE6*AG6*AG6+BF6*AG6+BG6)</f>
        <v>2.7243552000000006</v>
      </c>
      <c r="BJ6" s="7">
        <f t="shared" ref="BJ6:BJ15" si="29">VLOOKUP($D6,$CF$15:$CM$32,8,0)</f>
        <v>-100</v>
      </c>
      <c r="BK6" s="10" t="str">
        <f t="shared" ref="BK6:BK15" si="30">IF(AND(T6="jah",AS6&gt;BJ6,BJ6&lt;&gt;0),1,"")</f>
        <v/>
      </c>
      <c r="BL6" s="11">
        <f t="shared" ref="BL6:BL15" si="31">IF(AND(T6="ei",Q6=$BY$5,G6&gt;BI6,BI6&gt;0),1,"")</f>
        <v>1</v>
      </c>
      <c r="BO6" s="7" t="s">
        <v>39</v>
      </c>
      <c r="BP6" s="10" t="s">
        <v>45</v>
      </c>
      <c r="BQ6" s="3" t="s">
        <v>40</v>
      </c>
      <c r="BR6" s="3">
        <v>243.25030000000001</v>
      </c>
      <c r="BS6" s="3">
        <v>-2.5384000000000002</v>
      </c>
      <c r="BT6" s="3">
        <f>-0.1763*1000</f>
        <v>-176.3</v>
      </c>
      <c r="BU6" s="3">
        <v>0</v>
      </c>
      <c r="BV6" s="3">
        <v>0</v>
      </c>
      <c r="BW6" s="11">
        <v>0</v>
      </c>
      <c r="BX6" s="3"/>
      <c r="BY6" s="10" t="s">
        <v>47</v>
      </c>
      <c r="BZ6" s="10">
        <v>6.9973753299999997</v>
      </c>
      <c r="CA6" s="3">
        <v>1.8633333299999999</v>
      </c>
      <c r="CB6" s="3">
        <v>-0.33858268000000002</v>
      </c>
      <c r="CC6" s="11">
        <v>0</v>
      </c>
      <c r="CD6" s="3"/>
      <c r="CE6" s="1"/>
      <c r="CH6" s="1"/>
      <c r="CI6" s="1"/>
      <c r="CJ6" s="1"/>
      <c r="CK6" s="1"/>
      <c r="CL6" s="1"/>
      <c r="CM6" s="1"/>
      <c r="CN6" s="1"/>
      <c r="CO6" s="1"/>
      <c r="CP6" s="87"/>
      <c r="CQ6" s="87"/>
      <c r="CR6" s="87"/>
      <c r="CS6" s="87"/>
      <c r="CT6" s="87"/>
      <c r="CU6" s="87"/>
    </row>
    <row r="7" spans="1:99" ht="15" x14ac:dyDescent="0.25">
      <c r="A7" s="32"/>
      <c r="B7" s="33"/>
      <c r="C7" s="33"/>
      <c r="D7" s="32" t="s">
        <v>39</v>
      </c>
      <c r="E7" s="33">
        <v>20</v>
      </c>
      <c r="F7" s="33"/>
      <c r="G7" s="33">
        <v>2</v>
      </c>
      <c r="H7" s="33" t="s">
        <v>45</v>
      </c>
      <c r="I7" s="32" t="s">
        <v>45</v>
      </c>
      <c r="J7" s="42" t="s">
        <v>146</v>
      </c>
      <c r="K7" s="33" t="s">
        <v>42</v>
      </c>
      <c r="L7" s="33" t="s">
        <v>179</v>
      </c>
      <c r="M7" s="33">
        <v>2.2000000000000002</v>
      </c>
      <c r="N7" s="33">
        <v>27</v>
      </c>
      <c r="O7" s="33" t="s">
        <v>43</v>
      </c>
      <c r="P7" s="39" t="s">
        <v>152</v>
      </c>
      <c r="Q7" s="32" t="s">
        <v>47</v>
      </c>
      <c r="R7" s="33">
        <v>25</v>
      </c>
      <c r="S7" s="33">
        <v>15</v>
      </c>
      <c r="T7" s="33" t="s">
        <v>45</v>
      </c>
      <c r="U7" s="39">
        <v>10</v>
      </c>
      <c r="V7" s="55">
        <f t="shared" si="0"/>
        <v>82.659614399999995</v>
      </c>
      <c r="W7" s="55">
        <f t="shared" si="1"/>
        <v>902.33006585935993</v>
      </c>
      <c r="X7" s="56">
        <f t="shared" si="2"/>
        <v>1.0916214313472046</v>
      </c>
      <c r="Y7" s="7" t="str">
        <f t="shared" ref="Y7:Y15" si="32">IF(W7&lt;&gt;"",IF(W7&lt;BY$62,BZ$62,IF(W7&lt;BY$63,BZ$63,IF(W7&lt;BY$64,BZ$64,IF(W7&lt;BY$65,BZ$65,BZ$66)))),"")</f>
        <v>Väga kõrge, suureneb lämmastiku leostumise oht</v>
      </c>
      <c r="Z7" s="34" t="str">
        <f t="shared" si="3"/>
        <v/>
      </c>
      <c r="AA7" s="87"/>
      <c r="AB7" s="70">
        <f t="shared" ref="AB7:AB15" si="33">IFERROR($E7*V7,"")</f>
        <v>1653.192288</v>
      </c>
      <c r="AC7" s="69">
        <f t="shared" si="4"/>
        <v>18046.6013171872</v>
      </c>
      <c r="AD7" s="34">
        <f t="shared" si="4"/>
        <v>21.832428626944093</v>
      </c>
      <c r="AF7" s="82">
        <f t="shared" si="5"/>
        <v>0.96</v>
      </c>
      <c r="AG7" s="7">
        <f t="shared" si="6"/>
        <v>2.2000000000000002</v>
      </c>
      <c r="AH7" s="7">
        <f t="shared" si="7"/>
        <v>1.4803999999999999</v>
      </c>
      <c r="AI7" s="7">
        <f t="shared" si="8"/>
        <v>1.72</v>
      </c>
      <c r="AJ7" s="7">
        <f t="shared" si="9"/>
        <v>0.94</v>
      </c>
      <c r="AK7" s="10">
        <f t="shared" si="10"/>
        <v>1.63</v>
      </c>
      <c r="AL7" s="11">
        <f t="shared" si="11"/>
        <v>-6.8000000000000005E-2</v>
      </c>
      <c r="AM7" s="21">
        <f t="array" ref="AM7">INDEX(BO$5:BU$85,MATCH(1,(BO$5:BO$85=D7)*(BP$5:BP$85=H7)*(BQ$5:BQ$85=T7),0),4)</f>
        <v>324.56889999999999</v>
      </c>
      <c r="AN7" s="14">
        <f t="array" ref="AN7">INDEX(BO$5:BU$85,MATCH(1,(BO$5:BO$85=D7)*(BP$5:BP$85=H7)*(BQ$5:BQ$85=T7),0),5)</f>
        <v>-2.3681000000000001</v>
      </c>
      <c r="AO7" s="14">
        <f t="array" ref="AO7">INDEX(BO$5:BU$85,MATCH(1,(BO$5:BO$85=D7)*(BP$5:BP$85=H7)*(BQ$5:BQ$85=T7),0),6)</f>
        <v>-235</v>
      </c>
      <c r="AP7" s="14">
        <f t="array" ref="AP7">INDEX(BO$5:BU$85,MATCH(1,(BO$5:BO$85=D7)*(BP$5:BP$85=H7)*(BQ$5:BQ$85=T7),0),7)</f>
        <v>9.5180000000000007</v>
      </c>
      <c r="AQ7" s="14">
        <f t="array" ref="AQ7">INDEX(BO$5:BV$85,MATCH(1,(BO$5:BO$85=D7)*(BP$5:BP$85=H7)*(BQ$5:BQ$85=T7),0),8)</f>
        <v>-3.0599999999999999E-2</v>
      </c>
      <c r="AR7" s="3"/>
      <c r="AS7" s="3">
        <f t="shared" si="12"/>
        <v>-183.25733286063996</v>
      </c>
      <c r="AT7" s="10">
        <f t="shared" si="13"/>
        <v>-183.25733286063996</v>
      </c>
      <c r="AU7" s="3">
        <f t="shared" si="14"/>
        <v>0</v>
      </c>
      <c r="AV7" s="11">
        <f t="shared" si="15"/>
        <v>-183.25733286063996</v>
      </c>
      <c r="AW7" s="10">
        <f t="shared" si="16"/>
        <v>6.9973753299999997</v>
      </c>
      <c r="AX7" s="3">
        <f t="shared" si="17"/>
        <v>1.8633333299999999</v>
      </c>
      <c r="AY7" s="3">
        <f t="shared" si="18"/>
        <v>-0.33858268000000002</v>
      </c>
      <c r="AZ7" s="3">
        <f t="shared" si="19"/>
        <v>0</v>
      </c>
      <c r="BA7" s="11">
        <f t="shared" si="20"/>
        <v>635.5873987199999</v>
      </c>
      <c r="BB7" s="10">
        <f t="shared" si="21"/>
        <v>0.86</v>
      </c>
      <c r="BC7" s="7">
        <f t="shared" si="22"/>
        <v>450</v>
      </c>
      <c r="BD7" s="10">
        <f t="shared" si="23"/>
        <v>3.1899999999999998E-2</v>
      </c>
      <c r="BE7" s="3">
        <f t="shared" si="24"/>
        <v>-0.49940000000000001</v>
      </c>
      <c r="BF7" s="3">
        <f t="shared" si="25"/>
        <v>2.5729000000000002</v>
      </c>
      <c r="BG7" s="3">
        <f t="shared" si="26"/>
        <v>-0.85860000000000003</v>
      </c>
      <c r="BH7" s="3">
        <f t="shared" si="27"/>
        <v>3.5</v>
      </c>
      <c r="BI7" s="27">
        <f t="shared" si="28"/>
        <v>2.7243552000000006</v>
      </c>
      <c r="BJ7" s="7">
        <f t="shared" si="29"/>
        <v>-100</v>
      </c>
      <c r="BK7" s="10" t="str">
        <f t="shared" si="30"/>
        <v/>
      </c>
      <c r="BL7" s="11" t="str">
        <f t="shared" si="31"/>
        <v/>
      </c>
      <c r="BO7" s="7" t="s">
        <v>39</v>
      </c>
      <c r="BP7" s="10" t="s">
        <v>40</v>
      </c>
      <c r="BQ7" s="3" t="s">
        <v>45</v>
      </c>
      <c r="BR7" s="3">
        <v>322.10070000000002</v>
      </c>
      <c r="BS7" s="3">
        <v>-2.4676</v>
      </c>
      <c r="BT7" s="3">
        <f>-0.3095*1000</f>
        <v>-309.5</v>
      </c>
      <c r="BU7" s="3">
        <v>9.4037000000000006</v>
      </c>
      <c r="BV7" s="3">
        <v>-2.93E-2</v>
      </c>
      <c r="BW7" s="11">
        <v>0</v>
      </c>
      <c r="BX7" s="3"/>
      <c r="BY7" s="10" t="s">
        <v>61</v>
      </c>
      <c r="BZ7" s="10">
        <v>10.4840675</v>
      </c>
      <c r="CA7" s="3">
        <v>1.94933333</v>
      </c>
      <c r="CB7" s="3">
        <v>-0.50729358999999996</v>
      </c>
      <c r="CC7" s="11">
        <v>0</v>
      </c>
      <c r="CD7" s="3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87"/>
      <c r="CQ7" s="87"/>
      <c r="CR7" s="87"/>
      <c r="CS7" s="87"/>
      <c r="CT7" s="87"/>
      <c r="CU7" s="87"/>
    </row>
    <row r="8" spans="1:99" ht="15" x14ac:dyDescent="0.25">
      <c r="A8" s="32"/>
      <c r="B8" s="33"/>
      <c r="C8" s="33"/>
      <c r="D8" s="32"/>
      <c r="E8" s="33"/>
      <c r="F8" s="33"/>
      <c r="G8" s="33"/>
      <c r="H8" s="33"/>
      <c r="I8" s="32"/>
      <c r="J8" s="42"/>
      <c r="K8" s="33"/>
      <c r="L8" s="33"/>
      <c r="M8" s="33"/>
      <c r="N8" s="33"/>
      <c r="O8" s="33"/>
      <c r="P8" s="39"/>
      <c r="Q8" s="32"/>
      <c r="R8" s="33"/>
      <c r="S8" s="33"/>
      <c r="T8" s="33"/>
      <c r="U8" s="39"/>
      <c r="V8" s="55" t="str">
        <f t="shared" si="0"/>
        <v/>
      </c>
      <c r="W8" s="55" t="str">
        <f t="shared" si="1"/>
        <v/>
      </c>
      <c r="X8" s="56" t="str">
        <f t="shared" si="2"/>
        <v/>
      </c>
      <c r="Y8" s="7" t="str">
        <f t="shared" si="32"/>
        <v/>
      </c>
      <c r="Z8" s="34" t="str">
        <f t="shared" si="3"/>
        <v/>
      </c>
      <c r="AA8" s="87"/>
      <c r="AB8" s="70" t="str">
        <f t="shared" si="33"/>
        <v/>
      </c>
      <c r="AC8" s="69" t="str">
        <f t="shared" si="4"/>
        <v/>
      </c>
      <c r="AD8" s="34" t="str">
        <f t="shared" si="4"/>
        <v/>
      </c>
      <c r="AF8" s="82" t="e">
        <f t="shared" si="5"/>
        <v>#N/A</v>
      </c>
      <c r="AG8" s="7" t="e">
        <f t="shared" si="6"/>
        <v>#N/A</v>
      </c>
      <c r="AH8" s="7" t="e">
        <f t="shared" si="7"/>
        <v>#N/A</v>
      </c>
      <c r="AI8" s="7" t="e">
        <f t="shared" si="8"/>
        <v>#N/A</v>
      </c>
      <c r="AJ8" s="7" t="e">
        <f t="shared" si="9"/>
        <v>#N/A</v>
      </c>
      <c r="AK8" s="10" t="e">
        <f t="shared" si="10"/>
        <v>#N/A</v>
      </c>
      <c r="AL8" s="11" t="e">
        <f t="shared" si="11"/>
        <v>#N/A</v>
      </c>
      <c r="AM8" s="21">
        <f t="array" ref="AM8">INDEX(BO$5:BU$85,MATCH(1,(BO$5:BO$85=D8)*(BP$5:BP$85=H8)*(BQ$5:BQ$85=T8),0),4)</f>
        <v>0</v>
      </c>
      <c r="AN8" s="14">
        <f t="array" ref="AN8">INDEX(BO$5:BU$85,MATCH(1,(BO$5:BO$85=D8)*(BP$5:BP$85=H8)*(BQ$5:BQ$85=T8),0),5)</f>
        <v>0</v>
      </c>
      <c r="AO8" s="14">
        <f t="array" ref="AO8">INDEX(BO$5:BU$85,MATCH(1,(BO$5:BO$85=D8)*(BP$5:BP$85=H8)*(BQ$5:BQ$85=T8),0),6)</f>
        <v>0</v>
      </c>
      <c r="AP8" s="14">
        <f t="array" ref="AP8">INDEX(BO$5:BU$85,MATCH(1,(BO$5:BO$85=D8)*(BP$5:BP$85=H8)*(BQ$5:BQ$85=T8),0),7)</f>
        <v>0</v>
      </c>
      <c r="AQ8" s="14">
        <f t="array" ref="AQ8">INDEX(BO$5:BV$85,MATCH(1,(BO$5:BO$85=D8)*(BP$5:BP$85=H8)*(BQ$5:BQ$85=T8),0),8)</f>
        <v>0</v>
      </c>
      <c r="AR8" s="3"/>
      <c r="AS8" s="3" t="e">
        <f t="shared" si="12"/>
        <v>#VALUE!</v>
      </c>
      <c r="AT8" s="10" t="e">
        <f t="shared" si="13"/>
        <v>#VALUE!</v>
      </c>
      <c r="AU8" s="3" t="e">
        <f t="shared" si="14"/>
        <v>#N/A</v>
      </c>
      <c r="AV8" s="11" t="e">
        <f t="shared" si="15"/>
        <v>#VALUE!</v>
      </c>
      <c r="AW8" s="10" t="e">
        <f t="shared" si="16"/>
        <v>#N/A</v>
      </c>
      <c r="AX8" s="3" t="e">
        <f t="shared" si="17"/>
        <v>#N/A</v>
      </c>
      <c r="AY8" s="3" t="e">
        <f t="shared" si="18"/>
        <v>#N/A</v>
      </c>
      <c r="AZ8" s="3" t="e">
        <f t="shared" si="19"/>
        <v>#N/A</v>
      </c>
      <c r="BA8" s="11" t="e">
        <f t="shared" si="20"/>
        <v>#N/A</v>
      </c>
      <c r="BB8" s="10" t="e">
        <f t="shared" si="21"/>
        <v>#N/A</v>
      </c>
      <c r="BC8" s="7">
        <f t="shared" si="22"/>
        <v>0</v>
      </c>
      <c r="BD8" s="10" t="e">
        <f t="shared" si="23"/>
        <v>#N/A</v>
      </c>
      <c r="BE8" s="3" t="e">
        <f t="shared" si="24"/>
        <v>#N/A</v>
      </c>
      <c r="BF8" s="3" t="e">
        <f t="shared" si="25"/>
        <v>#N/A</v>
      </c>
      <c r="BG8" s="3" t="e">
        <f t="shared" si="26"/>
        <v>#N/A</v>
      </c>
      <c r="BH8" s="3" t="e">
        <f t="shared" si="27"/>
        <v>#N/A</v>
      </c>
      <c r="BI8" s="27" t="e">
        <f t="shared" si="28"/>
        <v>#N/A</v>
      </c>
      <c r="BJ8" s="7" t="e">
        <f t="shared" si="29"/>
        <v>#N/A</v>
      </c>
      <c r="BK8" s="10" t="e">
        <f t="shared" si="30"/>
        <v>#VALUE!</v>
      </c>
      <c r="BL8" s="11" t="e">
        <f t="shared" si="31"/>
        <v>#N/A</v>
      </c>
      <c r="BO8" s="8" t="s">
        <v>39</v>
      </c>
      <c r="BP8" s="12" t="s">
        <v>45</v>
      </c>
      <c r="BQ8" s="5" t="s">
        <v>45</v>
      </c>
      <c r="BR8" s="5">
        <v>324.56889999999999</v>
      </c>
      <c r="BS8" s="5">
        <v>-2.3681000000000001</v>
      </c>
      <c r="BT8" s="5">
        <f>-0.235*1000</f>
        <v>-235</v>
      </c>
      <c r="BU8" s="5">
        <v>9.5180000000000007</v>
      </c>
      <c r="BV8" s="5">
        <v>-3.0599999999999999E-2</v>
      </c>
      <c r="BW8" s="13">
        <v>0</v>
      </c>
      <c r="BX8" s="3"/>
      <c r="BY8" s="10" t="s">
        <v>162</v>
      </c>
      <c r="BZ8" s="10">
        <v>0.96</v>
      </c>
      <c r="CA8" s="3">
        <v>2.0499999999999998</v>
      </c>
      <c r="CB8" s="3">
        <v>-0.02</v>
      </c>
      <c r="CC8" s="11">
        <v>0</v>
      </c>
      <c r="CD8" s="3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87"/>
      <c r="CQ8" s="87"/>
      <c r="CR8" s="87"/>
      <c r="CS8" s="87"/>
      <c r="CT8" s="87"/>
      <c r="CU8" s="87"/>
    </row>
    <row r="9" spans="1:99" ht="15" x14ac:dyDescent="0.25">
      <c r="A9" s="32"/>
      <c r="B9" s="33"/>
      <c r="C9" s="33"/>
      <c r="D9" s="32"/>
      <c r="E9" s="33"/>
      <c r="F9" s="33"/>
      <c r="G9" s="33"/>
      <c r="H9" s="33"/>
      <c r="I9" s="32"/>
      <c r="J9" s="42"/>
      <c r="K9" s="33"/>
      <c r="L9" s="33"/>
      <c r="M9" s="33"/>
      <c r="N9" s="33"/>
      <c r="O9" s="33"/>
      <c r="P9" s="39"/>
      <c r="Q9" s="32"/>
      <c r="R9" s="33"/>
      <c r="S9" s="33"/>
      <c r="T9" s="33"/>
      <c r="U9" s="39"/>
      <c r="V9" s="55" t="str">
        <f t="shared" si="0"/>
        <v/>
      </c>
      <c r="W9" s="55" t="str">
        <f t="shared" si="1"/>
        <v/>
      </c>
      <c r="X9" s="56" t="str">
        <f t="shared" si="2"/>
        <v/>
      </c>
      <c r="Y9" s="7" t="str">
        <f t="shared" si="32"/>
        <v/>
      </c>
      <c r="Z9" s="34" t="str">
        <f t="shared" si="3"/>
        <v/>
      </c>
      <c r="AA9" s="87"/>
      <c r="AB9" s="70" t="str">
        <f t="shared" si="33"/>
        <v/>
      </c>
      <c r="AC9" s="69" t="str">
        <f t="shared" si="4"/>
        <v/>
      </c>
      <c r="AD9" s="34" t="str">
        <f t="shared" si="4"/>
        <v/>
      </c>
      <c r="AF9" s="82" t="e">
        <f t="shared" si="5"/>
        <v>#N/A</v>
      </c>
      <c r="AG9" s="7" t="e">
        <f t="shared" si="6"/>
        <v>#N/A</v>
      </c>
      <c r="AH9" s="7" t="e">
        <f t="shared" si="7"/>
        <v>#N/A</v>
      </c>
      <c r="AI9" s="7" t="e">
        <f t="shared" si="8"/>
        <v>#N/A</v>
      </c>
      <c r="AJ9" s="7" t="e">
        <f t="shared" si="9"/>
        <v>#N/A</v>
      </c>
      <c r="AK9" s="10" t="e">
        <f t="shared" si="10"/>
        <v>#N/A</v>
      </c>
      <c r="AL9" s="11" t="e">
        <f t="shared" si="11"/>
        <v>#N/A</v>
      </c>
      <c r="AM9" s="21">
        <f t="array" ref="AM9">INDEX(BO$5:BU$85,MATCH(1,(BO$5:BO$85=D9)*(BP$5:BP$85=H9)*(BQ$5:BQ$85=T9),0),4)</f>
        <v>0</v>
      </c>
      <c r="AN9" s="14">
        <f t="array" ref="AN9">INDEX(BO$5:BU$85,MATCH(1,(BO$5:BO$85=D9)*(BP$5:BP$85=H9)*(BQ$5:BQ$85=T9),0),5)</f>
        <v>0</v>
      </c>
      <c r="AO9" s="14">
        <f t="array" ref="AO9">INDEX(BO$5:BU$85,MATCH(1,(BO$5:BO$85=D9)*(BP$5:BP$85=H9)*(BQ$5:BQ$85=T9),0),6)</f>
        <v>0</v>
      </c>
      <c r="AP9" s="14">
        <f t="array" ref="AP9">INDEX(BO$5:BU$85,MATCH(1,(BO$5:BO$85=D9)*(BP$5:BP$85=H9)*(BQ$5:BQ$85=T9),0),7)</f>
        <v>0</v>
      </c>
      <c r="AQ9" s="14">
        <f t="array" ref="AQ9">INDEX(BO$5:BV$85,MATCH(1,(BO$5:BO$85=D9)*(BP$5:BP$85=H9)*(BQ$5:BQ$85=T9),0),8)</f>
        <v>0</v>
      </c>
      <c r="AR9" s="3"/>
      <c r="AS9" s="3" t="e">
        <f t="shared" si="12"/>
        <v>#VALUE!</v>
      </c>
      <c r="AT9" s="10" t="e">
        <f t="shared" si="13"/>
        <v>#VALUE!</v>
      </c>
      <c r="AU9" s="3" t="e">
        <f t="shared" si="14"/>
        <v>#N/A</v>
      </c>
      <c r="AV9" s="11" t="e">
        <f t="shared" si="15"/>
        <v>#VALUE!</v>
      </c>
      <c r="AW9" s="10" t="e">
        <f t="shared" si="16"/>
        <v>#N/A</v>
      </c>
      <c r="AX9" s="3" t="e">
        <f t="shared" si="17"/>
        <v>#N/A</v>
      </c>
      <c r="AY9" s="3" t="e">
        <f t="shared" si="18"/>
        <v>#N/A</v>
      </c>
      <c r="AZ9" s="3" t="e">
        <f t="shared" si="19"/>
        <v>#N/A</v>
      </c>
      <c r="BA9" s="11" t="e">
        <f t="shared" si="20"/>
        <v>#N/A</v>
      </c>
      <c r="BB9" s="10" t="e">
        <f t="shared" si="21"/>
        <v>#N/A</v>
      </c>
      <c r="BC9" s="7">
        <f t="shared" si="22"/>
        <v>0</v>
      </c>
      <c r="BD9" s="10" t="e">
        <f t="shared" si="23"/>
        <v>#N/A</v>
      </c>
      <c r="BE9" s="3" t="e">
        <f t="shared" si="24"/>
        <v>#N/A</v>
      </c>
      <c r="BF9" s="3" t="e">
        <f t="shared" si="25"/>
        <v>#N/A</v>
      </c>
      <c r="BG9" s="3" t="e">
        <f t="shared" si="26"/>
        <v>#N/A</v>
      </c>
      <c r="BH9" s="3" t="e">
        <f t="shared" si="27"/>
        <v>#N/A</v>
      </c>
      <c r="BI9" s="27" t="e">
        <f t="shared" si="28"/>
        <v>#N/A</v>
      </c>
      <c r="BJ9" s="7" t="e">
        <f t="shared" si="29"/>
        <v>#N/A</v>
      </c>
      <c r="BK9" s="10" t="e">
        <f t="shared" si="30"/>
        <v>#VALUE!</v>
      </c>
      <c r="BL9" s="11" t="e">
        <f t="shared" si="31"/>
        <v>#N/A</v>
      </c>
      <c r="BO9" s="6" t="s">
        <v>46</v>
      </c>
      <c r="BP9" s="23" t="s">
        <v>40</v>
      </c>
      <c r="BQ9" s="4" t="s">
        <v>40</v>
      </c>
      <c r="BR9" s="4">
        <v>77.458089999999999</v>
      </c>
      <c r="BS9" s="4">
        <v>-2.44855</v>
      </c>
      <c r="BT9" s="4">
        <f>-0.19029*1000</f>
        <v>-190.29</v>
      </c>
      <c r="BU9" s="4">
        <v>0</v>
      </c>
      <c r="BV9" s="4">
        <v>0</v>
      </c>
      <c r="BW9" s="9">
        <v>0</v>
      </c>
      <c r="BX9" s="3"/>
      <c r="BY9" s="10" t="s">
        <v>163</v>
      </c>
      <c r="BZ9" s="10">
        <v>1</v>
      </c>
      <c r="CA9" s="3">
        <v>1.31</v>
      </c>
      <c r="CB9" s="3">
        <v>-0.02</v>
      </c>
      <c r="CC9" s="11">
        <v>0</v>
      </c>
      <c r="CD9" s="3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87"/>
      <c r="CQ9" s="87"/>
      <c r="CR9" s="87"/>
      <c r="CS9" s="87"/>
      <c r="CT9" s="87"/>
      <c r="CU9" s="87"/>
    </row>
    <row r="10" spans="1:99" ht="15" x14ac:dyDescent="0.25">
      <c r="A10" s="32"/>
      <c r="B10" s="33"/>
      <c r="C10" s="33"/>
      <c r="D10" s="32"/>
      <c r="E10" s="33"/>
      <c r="F10" s="33"/>
      <c r="G10" s="33"/>
      <c r="H10" s="33"/>
      <c r="I10" s="32"/>
      <c r="J10" s="42"/>
      <c r="K10" s="33"/>
      <c r="L10" s="33"/>
      <c r="M10" s="33"/>
      <c r="N10" s="33"/>
      <c r="O10" s="33"/>
      <c r="P10" s="39"/>
      <c r="Q10" s="32"/>
      <c r="R10" s="33"/>
      <c r="S10" s="33"/>
      <c r="T10" s="33"/>
      <c r="U10" s="39"/>
      <c r="V10" s="55" t="str">
        <f t="shared" si="0"/>
        <v/>
      </c>
      <c r="W10" s="55" t="str">
        <f t="shared" si="1"/>
        <v/>
      </c>
      <c r="X10" s="56" t="str">
        <f t="shared" si="2"/>
        <v/>
      </c>
      <c r="Y10" s="7" t="str">
        <f t="shared" si="32"/>
        <v/>
      </c>
      <c r="Z10" s="34" t="str">
        <f t="shared" si="3"/>
        <v/>
      </c>
      <c r="AA10" s="87"/>
      <c r="AB10" s="70" t="str">
        <f t="shared" si="33"/>
        <v/>
      </c>
      <c r="AC10" s="69" t="str">
        <f t="shared" si="4"/>
        <v/>
      </c>
      <c r="AD10" s="34" t="str">
        <f t="shared" si="4"/>
        <v/>
      </c>
      <c r="AF10" s="82" t="e">
        <f t="shared" si="5"/>
        <v>#N/A</v>
      </c>
      <c r="AG10" s="7" t="e">
        <f t="shared" si="6"/>
        <v>#N/A</v>
      </c>
      <c r="AH10" s="7" t="e">
        <f t="shared" si="7"/>
        <v>#N/A</v>
      </c>
      <c r="AI10" s="7" t="e">
        <f t="shared" si="8"/>
        <v>#N/A</v>
      </c>
      <c r="AJ10" s="7" t="e">
        <f t="shared" si="9"/>
        <v>#N/A</v>
      </c>
      <c r="AK10" s="10" t="e">
        <f t="shared" si="10"/>
        <v>#N/A</v>
      </c>
      <c r="AL10" s="11" t="e">
        <f t="shared" si="11"/>
        <v>#N/A</v>
      </c>
      <c r="AM10" s="21">
        <f t="array" ref="AM10">INDEX(BO$5:BU$85,MATCH(1,(BO$5:BO$85=D10)*(BP$5:BP$85=H10)*(BQ$5:BQ$85=T10),0),4)</f>
        <v>0</v>
      </c>
      <c r="AN10" s="14">
        <f t="array" ref="AN10">INDEX(BO$5:BU$85,MATCH(1,(BO$5:BO$85=D10)*(BP$5:BP$85=H10)*(BQ$5:BQ$85=T10),0),5)</f>
        <v>0</v>
      </c>
      <c r="AO10" s="14">
        <f t="array" ref="AO10">INDEX(BO$5:BU$85,MATCH(1,(BO$5:BO$85=D10)*(BP$5:BP$85=H10)*(BQ$5:BQ$85=T10),0),6)</f>
        <v>0</v>
      </c>
      <c r="AP10" s="14">
        <f t="array" ref="AP10">INDEX(BO$5:BU$85,MATCH(1,(BO$5:BO$85=D10)*(BP$5:BP$85=H10)*(BQ$5:BQ$85=T10),0),7)</f>
        <v>0</v>
      </c>
      <c r="AQ10" s="14">
        <f t="array" ref="AQ10">INDEX(BO$5:BV$85,MATCH(1,(BO$5:BO$85=D10)*(BP$5:BP$85=H10)*(BQ$5:BQ$85=T10),0),8)</f>
        <v>0</v>
      </c>
      <c r="AR10" s="3"/>
      <c r="AS10" s="3" t="e">
        <f t="shared" si="12"/>
        <v>#VALUE!</v>
      </c>
      <c r="AT10" s="10" t="e">
        <f t="shared" si="13"/>
        <v>#VALUE!</v>
      </c>
      <c r="AU10" s="3" t="e">
        <f t="shared" si="14"/>
        <v>#N/A</v>
      </c>
      <c r="AV10" s="11" t="e">
        <f t="shared" si="15"/>
        <v>#VALUE!</v>
      </c>
      <c r="AW10" s="10" t="e">
        <f t="shared" si="16"/>
        <v>#N/A</v>
      </c>
      <c r="AX10" s="3" t="e">
        <f t="shared" si="17"/>
        <v>#N/A</v>
      </c>
      <c r="AY10" s="3" t="e">
        <f t="shared" si="18"/>
        <v>#N/A</v>
      </c>
      <c r="AZ10" s="3" t="e">
        <f t="shared" si="19"/>
        <v>#N/A</v>
      </c>
      <c r="BA10" s="11" t="e">
        <f t="shared" si="20"/>
        <v>#N/A</v>
      </c>
      <c r="BB10" s="10" t="e">
        <f t="shared" si="21"/>
        <v>#N/A</v>
      </c>
      <c r="BC10" s="7">
        <f t="shared" si="22"/>
        <v>0</v>
      </c>
      <c r="BD10" s="10" t="e">
        <f t="shared" si="23"/>
        <v>#N/A</v>
      </c>
      <c r="BE10" s="3" t="e">
        <f t="shared" si="24"/>
        <v>#N/A</v>
      </c>
      <c r="BF10" s="3" t="e">
        <f t="shared" si="25"/>
        <v>#N/A</v>
      </c>
      <c r="BG10" s="3" t="e">
        <f t="shared" si="26"/>
        <v>#N/A</v>
      </c>
      <c r="BH10" s="3" t="e">
        <f t="shared" si="27"/>
        <v>#N/A</v>
      </c>
      <c r="BI10" s="27" t="e">
        <f t="shared" si="28"/>
        <v>#N/A</v>
      </c>
      <c r="BJ10" s="7" t="e">
        <f t="shared" si="29"/>
        <v>#N/A</v>
      </c>
      <c r="BK10" s="10" t="e">
        <f t="shared" si="30"/>
        <v>#VALUE!</v>
      </c>
      <c r="BL10" s="11" t="e">
        <f t="shared" si="31"/>
        <v>#N/A</v>
      </c>
      <c r="BO10" s="7" t="s">
        <v>46</v>
      </c>
      <c r="BP10" s="10" t="s">
        <v>45</v>
      </c>
      <c r="BQ10" s="3" t="s">
        <v>40</v>
      </c>
      <c r="BR10" s="3">
        <v>49.900489999999998</v>
      </c>
      <c r="BS10" s="3">
        <v>-2.0548600000000001</v>
      </c>
      <c r="BT10" s="3">
        <f>-0.11312*1000</f>
        <v>-113.12</v>
      </c>
      <c r="BU10" s="3">
        <v>0</v>
      </c>
      <c r="BV10" s="3">
        <v>0</v>
      </c>
      <c r="BW10" s="11">
        <v>0</v>
      </c>
      <c r="BX10" s="3"/>
      <c r="BY10" s="10" t="s">
        <v>156</v>
      </c>
      <c r="BZ10" s="10">
        <v>13.9787567</v>
      </c>
      <c r="CA10" s="3">
        <v>1.94933333</v>
      </c>
      <c r="CB10" s="3">
        <v>-0.67639145000000001</v>
      </c>
      <c r="CC10" s="11">
        <v>0</v>
      </c>
      <c r="CD10" s="3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87"/>
      <c r="CQ10" s="87"/>
      <c r="CR10" s="87"/>
      <c r="CS10" s="87"/>
      <c r="CT10" s="87"/>
      <c r="CU10" s="87"/>
    </row>
    <row r="11" spans="1:99" ht="15" x14ac:dyDescent="0.25">
      <c r="A11" s="32"/>
      <c r="B11" s="33"/>
      <c r="C11" s="33"/>
      <c r="D11" s="32"/>
      <c r="E11" s="33"/>
      <c r="F11" s="33"/>
      <c r="G11" s="33"/>
      <c r="H11" s="33"/>
      <c r="I11" s="32"/>
      <c r="J11" s="42"/>
      <c r="K11" s="33"/>
      <c r="L11" s="33"/>
      <c r="M11" s="33"/>
      <c r="N11" s="33"/>
      <c r="O11" s="33"/>
      <c r="P11" s="39"/>
      <c r="Q11" s="32"/>
      <c r="R11" s="33"/>
      <c r="S11" s="33"/>
      <c r="T11" s="33"/>
      <c r="U11" s="39"/>
      <c r="V11" s="55" t="str">
        <f t="shared" si="0"/>
        <v/>
      </c>
      <c r="W11" s="55" t="str">
        <f t="shared" si="1"/>
        <v/>
      </c>
      <c r="X11" s="56" t="str">
        <f t="shared" si="2"/>
        <v/>
      </c>
      <c r="Y11" s="7" t="str">
        <f t="shared" si="32"/>
        <v/>
      </c>
      <c r="Z11" s="34" t="str">
        <f t="shared" si="3"/>
        <v/>
      </c>
      <c r="AA11" s="87"/>
      <c r="AB11" s="70" t="str">
        <f t="shared" si="33"/>
        <v/>
      </c>
      <c r="AC11" s="69" t="str">
        <f t="shared" si="4"/>
        <v/>
      </c>
      <c r="AD11" s="34" t="str">
        <f t="shared" si="4"/>
        <v/>
      </c>
      <c r="AF11" s="82" t="e">
        <f t="shared" si="5"/>
        <v>#N/A</v>
      </c>
      <c r="AG11" s="7" t="e">
        <f t="shared" si="6"/>
        <v>#N/A</v>
      </c>
      <c r="AH11" s="7" t="e">
        <f t="shared" si="7"/>
        <v>#N/A</v>
      </c>
      <c r="AI11" s="7" t="e">
        <f t="shared" si="8"/>
        <v>#N/A</v>
      </c>
      <c r="AJ11" s="7" t="e">
        <f t="shared" si="9"/>
        <v>#N/A</v>
      </c>
      <c r="AK11" s="10" t="e">
        <f t="shared" si="10"/>
        <v>#N/A</v>
      </c>
      <c r="AL11" s="11" t="e">
        <f t="shared" si="11"/>
        <v>#N/A</v>
      </c>
      <c r="AM11" s="21">
        <f t="array" ref="AM11">INDEX(BO$5:BU$85,MATCH(1,(BO$5:BO$85=D11)*(BP$5:BP$85=H11)*(BQ$5:BQ$85=T11),0),4)</f>
        <v>0</v>
      </c>
      <c r="AN11" s="14">
        <f t="array" ref="AN11">INDEX(BO$5:BU$85,MATCH(1,(BO$5:BO$85=D11)*(BP$5:BP$85=H11)*(BQ$5:BQ$85=T11),0),5)</f>
        <v>0</v>
      </c>
      <c r="AO11" s="14">
        <f t="array" ref="AO11">INDEX(BO$5:BU$85,MATCH(1,(BO$5:BO$85=D11)*(BP$5:BP$85=H11)*(BQ$5:BQ$85=T11),0),6)</f>
        <v>0</v>
      </c>
      <c r="AP11" s="14">
        <f t="array" ref="AP11">INDEX(BO$5:BU$85,MATCH(1,(BO$5:BO$85=D11)*(BP$5:BP$85=H11)*(BQ$5:BQ$85=T11),0),7)</f>
        <v>0</v>
      </c>
      <c r="AQ11" s="14">
        <f t="array" ref="AQ11">INDEX(BO$5:BV$85,MATCH(1,(BO$5:BO$85=D11)*(BP$5:BP$85=H11)*(BQ$5:BQ$85=T11),0),8)</f>
        <v>0</v>
      </c>
      <c r="AR11" s="3"/>
      <c r="AS11" s="3" t="e">
        <f t="shared" si="12"/>
        <v>#VALUE!</v>
      </c>
      <c r="AT11" s="10" t="e">
        <f t="shared" si="13"/>
        <v>#VALUE!</v>
      </c>
      <c r="AU11" s="3" t="e">
        <f t="shared" si="14"/>
        <v>#N/A</v>
      </c>
      <c r="AV11" s="11" t="e">
        <f t="shared" si="15"/>
        <v>#VALUE!</v>
      </c>
      <c r="AW11" s="10" t="e">
        <f t="shared" si="16"/>
        <v>#N/A</v>
      </c>
      <c r="AX11" s="3" t="e">
        <f t="shared" si="17"/>
        <v>#N/A</v>
      </c>
      <c r="AY11" s="3" t="e">
        <f t="shared" si="18"/>
        <v>#N/A</v>
      </c>
      <c r="AZ11" s="3" t="e">
        <f t="shared" si="19"/>
        <v>#N/A</v>
      </c>
      <c r="BA11" s="11" t="e">
        <f t="shared" si="20"/>
        <v>#N/A</v>
      </c>
      <c r="BB11" s="10" t="e">
        <f t="shared" si="21"/>
        <v>#N/A</v>
      </c>
      <c r="BC11" s="7">
        <f t="shared" si="22"/>
        <v>0</v>
      </c>
      <c r="BD11" s="10" t="e">
        <f t="shared" si="23"/>
        <v>#N/A</v>
      </c>
      <c r="BE11" s="3" t="e">
        <f t="shared" si="24"/>
        <v>#N/A</v>
      </c>
      <c r="BF11" s="3" t="e">
        <f t="shared" si="25"/>
        <v>#N/A</v>
      </c>
      <c r="BG11" s="3" t="e">
        <f t="shared" si="26"/>
        <v>#N/A</v>
      </c>
      <c r="BH11" s="3" t="e">
        <f t="shared" si="27"/>
        <v>#N/A</v>
      </c>
      <c r="BI11" s="27" t="e">
        <f t="shared" si="28"/>
        <v>#N/A</v>
      </c>
      <c r="BJ11" s="7" t="e">
        <f t="shared" si="29"/>
        <v>#N/A</v>
      </c>
      <c r="BK11" s="10" t="e">
        <f t="shared" si="30"/>
        <v>#VALUE!</v>
      </c>
      <c r="BL11" s="11" t="e">
        <f t="shared" si="31"/>
        <v>#N/A</v>
      </c>
      <c r="BO11" s="7" t="s">
        <v>46</v>
      </c>
      <c r="BP11" s="10" t="s">
        <v>40</v>
      </c>
      <c r="BQ11" s="3" t="s">
        <v>45</v>
      </c>
      <c r="BR11" s="3">
        <v>361.91</v>
      </c>
      <c r="BS11" s="3">
        <v>-2.2860999999999998</v>
      </c>
      <c r="BT11" s="3">
        <f>-0.3163*1000</f>
        <v>-316.3</v>
      </c>
      <c r="BU11" s="3">
        <v>10.265499999999999</v>
      </c>
      <c r="BV11" s="3">
        <v>-4.3799999999999999E-2</v>
      </c>
      <c r="BW11" s="11">
        <v>0</v>
      </c>
      <c r="BX11" s="3"/>
      <c r="BY11" s="10" t="s">
        <v>157</v>
      </c>
      <c r="BZ11" s="10">
        <v>24.740719899999998</v>
      </c>
      <c r="CA11" s="3">
        <v>2.15</v>
      </c>
      <c r="CB11" s="3">
        <v>-1.19713161</v>
      </c>
      <c r="CC11" s="11">
        <v>0</v>
      </c>
      <c r="CD11" s="3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87"/>
      <c r="CQ11" s="87"/>
      <c r="CR11" s="87"/>
      <c r="CS11" s="87"/>
      <c r="CT11" s="87"/>
      <c r="CU11" s="87"/>
    </row>
    <row r="12" spans="1:99" ht="15" x14ac:dyDescent="0.25">
      <c r="A12" s="32"/>
      <c r="B12" s="33"/>
      <c r="C12" s="33"/>
      <c r="D12" s="32"/>
      <c r="E12" s="33"/>
      <c r="F12" s="33"/>
      <c r="G12" s="33"/>
      <c r="H12" s="33"/>
      <c r="I12" s="32"/>
      <c r="J12" s="42"/>
      <c r="K12" s="33"/>
      <c r="L12" s="33"/>
      <c r="M12" s="33"/>
      <c r="N12" s="33"/>
      <c r="O12" s="33"/>
      <c r="P12" s="39"/>
      <c r="Q12" s="32"/>
      <c r="R12" s="33"/>
      <c r="S12" s="33"/>
      <c r="T12" s="33"/>
      <c r="U12" s="39"/>
      <c r="V12" s="55" t="str">
        <f t="shared" si="0"/>
        <v/>
      </c>
      <c r="W12" s="55" t="str">
        <f t="shared" si="1"/>
        <v/>
      </c>
      <c r="X12" s="56" t="str">
        <f t="shared" si="2"/>
        <v/>
      </c>
      <c r="Y12" s="7" t="str">
        <f t="shared" si="32"/>
        <v/>
      </c>
      <c r="Z12" s="34" t="str">
        <f t="shared" si="3"/>
        <v/>
      </c>
      <c r="AA12" s="87"/>
      <c r="AB12" s="70" t="str">
        <f t="shared" si="33"/>
        <v/>
      </c>
      <c r="AC12" s="69" t="str">
        <f t="shared" si="4"/>
        <v/>
      </c>
      <c r="AD12" s="34" t="str">
        <f t="shared" si="4"/>
        <v/>
      </c>
      <c r="AF12" s="82" t="e">
        <f t="shared" si="5"/>
        <v>#N/A</v>
      </c>
      <c r="AG12" s="7" t="e">
        <f t="shared" si="6"/>
        <v>#N/A</v>
      </c>
      <c r="AH12" s="7" t="e">
        <f t="shared" si="7"/>
        <v>#N/A</v>
      </c>
      <c r="AI12" s="7" t="e">
        <f t="shared" si="8"/>
        <v>#N/A</v>
      </c>
      <c r="AJ12" s="7" t="e">
        <f t="shared" si="9"/>
        <v>#N/A</v>
      </c>
      <c r="AK12" s="10" t="e">
        <f t="shared" si="10"/>
        <v>#N/A</v>
      </c>
      <c r="AL12" s="11" t="e">
        <f t="shared" si="11"/>
        <v>#N/A</v>
      </c>
      <c r="AM12" s="21">
        <f t="array" ref="AM12">INDEX(BO$5:BU$85,MATCH(1,(BO$5:BO$85=D12)*(BP$5:BP$85=H12)*(BQ$5:BQ$85=T12),0),4)</f>
        <v>0</v>
      </c>
      <c r="AN12" s="14">
        <f t="array" ref="AN12">INDEX(BO$5:BU$85,MATCH(1,(BO$5:BO$85=D12)*(BP$5:BP$85=H12)*(BQ$5:BQ$85=T12),0),5)</f>
        <v>0</v>
      </c>
      <c r="AO12" s="14">
        <f t="array" ref="AO12">INDEX(BO$5:BU$85,MATCH(1,(BO$5:BO$85=D12)*(BP$5:BP$85=H12)*(BQ$5:BQ$85=T12),0),6)</f>
        <v>0</v>
      </c>
      <c r="AP12" s="14">
        <f t="array" ref="AP12">INDEX(BO$5:BU$85,MATCH(1,(BO$5:BO$85=D12)*(BP$5:BP$85=H12)*(BQ$5:BQ$85=T12),0),7)</f>
        <v>0</v>
      </c>
      <c r="AQ12" s="14">
        <f t="array" ref="AQ12">INDEX(BO$5:BV$85,MATCH(1,(BO$5:BO$85=D12)*(BP$5:BP$85=H12)*(BQ$5:BQ$85=T12),0),8)</f>
        <v>0</v>
      </c>
      <c r="AR12" s="3"/>
      <c r="AS12" s="3" t="e">
        <f t="shared" si="12"/>
        <v>#VALUE!</v>
      </c>
      <c r="AT12" s="10" t="e">
        <f t="shared" si="13"/>
        <v>#VALUE!</v>
      </c>
      <c r="AU12" s="3" t="e">
        <f t="shared" si="14"/>
        <v>#N/A</v>
      </c>
      <c r="AV12" s="11" t="e">
        <f t="shared" si="15"/>
        <v>#VALUE!</v>
      </c>
      <c r="AW12" s="10" t="e">
        <f t="shared" si="16"/>
        <v>#N/A</v>
      </c>
      <c r="AX12" s="3" t="e">
        <f t="shared" si="17"/>
        <v>#N/A</v>
      </c>
      <c r="AY12" s="3" t="e">
        <f t="shared" si="18"/>
        <v>#N/A</v>
      </c>
      <c r="AZ12" s="3" t="e">
        <f t="shared" si="19"/>
        <v>#N/A</v>
      </c>
      <c r="BA12" s="11" t="e">
        <f t="shared" si="20"/>
        <v>#N/A</v>
      </c>
      <c r="BB12" s="10" t="e">
        <f t="shared" si="21"/>
        <v>#N/A</v>
      </c>
      <c r="BC12" s="7">
        <f t="shared" si="22"/>
        <v>0</v>
      </c>
      <c r="BD12" s="10" t="e">
        <f t="shared" si="23"/>
        <v>#N/A</v>
      </c>
      <c r="BE12" s="3" t="e">
        <f t="shared" si="24"/>
        <v>#N/A</v>
      </c>
      <c r="BF12" s="3" t="e">
        <f t="shared" si="25"/>
        <v>#N/A</v>
      </c>
      <c r="BG12" s="3" t="e">
        <f t="shared" si="26"/>
        <v>#N/A</v>
      </c>
      <c r="BH12" s="3" t="e">
        <f t="shared" si="27"/>
        <v>#N/A</v>
      </c>
      <c r="BI12" s="27" t="e">
        <f t="shared" si="28"/>
        <v>#N/A</v>
      </c>
      <c r="BJ12" s="7" t="e">
        <f t="shared" si="29"/>
        <v>#N/A</v>
      </c>
      <c r="BK12" s="10" t="e">
        <f t="shared" si="30"/>
        <v>#VALUE!</v>
      </c>
      <c r="BL12" s="11" t="e">
        <f t="shared" si="31"/>
        <v>#N/A</v>
      </c>
      <c r="BO12" s="8" t="s">
        <v>46</v>
      </c>
      <c r="BP12" s="12" t="s">
        <v>45</v>
      </c>
      <c r="BQ12" s="5" t="s">
        <v>45</v>
      </c>
      <c r="BR12" s="5">
        <v>365.1687</v>
      </c>
      <c r="BS12" s="5">
        <v>-1.8633</v>
      </c>
      <c r="BT12" s="5">
        <f>-0.2543*1000</f>
        <v>-254.30000000000004</v>
      </c>
      <c r="BU12" s="5">
        <v>10.8695</v>
      </c>
      <c r="BV12" s="5">
        <v>-4.6699999999999998E-2</v>
      </c>
      <c r="BW12" s="13">
        <v>0</v>
      </c>
      <c r="BX12" s="3"/>
      <c r="BY12" s="10" t="s">
        <v>154</v>
      </c>
      <c r="BZ12" s="10">
        <v>4.8099999999999996</v>
      </c>
      <c r="CA12" s="3">
        <v>1.61</v>
      </c>
      <c r="CB12" s="3">
        <v>-0.03</v>
      </c>
      <c r="CC12" s="11">
        <v>0</v>
      </c>
      <c r="CD12" s="3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87"/>
      <c r="CQ12" s="87"/>
      <c r="CR12" s="87"/>
      <c r="CS12" s="87"/>
      <c r="CT12" s="87"/>
      <c r="CU12" s="87"/>
    </row>
    <row r="13" spans="1:99" ht="15" x14ac:dyDescent="0.25">
      <c r="A13" s="32"/>
      <c r="B13" s="33"/>
      <c r="C13" s="33"/>
      <c r="D13" s="32"/>
      <c r="E13" s="33"/>
      <c r="F13" s="33"/>
      <c r="G13" s="33"/>
      <c r="H13" s="33"/>
      <c r="I13" s="32"/>
      <c r="J13" s="42"/>
      <c r="K13" s="33"/>
      <c r="L13" s="33"/>
      <c r="M13" s="33"/>
      <c r="N13" s="33"/>
      <c r="O13" s="33"/>
      <c r="P13" s="39"/>
      <c r="Q13" s="32"/>
      <c r="R13" s="33"/>
      <c r="S13" s="33"/>
      <c r="T13" s="33"/>
      <c r="U13" s="39"/>
      <c r="V13" s="55" t="str">
        <f t="shared" si="0"/>
        <v/>
      </c>
      <c r="W13" s="55" t="str">
        <f t="shared" si="1"/>
        <v/>
      </c>
      <c r="X13" s="56" t="str">
        <f t="shared" si="2"/>
        <v/>
      </c>
      <c r="Y13" s="7" t="str">
        <f t="shared" si="32"/>
        <v/>
      </c>
      <c r="Z13" s="34" t="str">
        <f t="shared" si="3"/>
        <v/>
      </c>
      <c r="AA13" s="87"/>
      <c r="AB13" s="70" t="str">
        <f t="shared" si="33"/>
        <v/>
      </c>
      <c r="AC13" s="69" t="str">
        <f t="shared" si="4"/>
        <v/>
      </c>
      <c r="AD13" s="34" t="str">
        <f t="shared" si="4"/>
        <v/>
      </c>
      <c r="AF13" s="82" t="e">
        <f t="shared" si="5"/>
        <v>#N/A</v>
      </c>
      <c r="AG13" s="7" t="e">
        <f t="shared" si="6"/>
        <v>#N/A</v>
      </c>
      <c r="AH13" s="7" t="e">
        <f t="shared" si="7"/>
        <v>#N/A</v>
      </c>
      <c r="AI13" s="7" t="e">
        <f t="shared" si="8"/>
        <v>#N/A</v>
      </c>
      <c r="AJ13" s="7" t="e">
        <f t="shared" si="9"/>
        <v>#N/A</v>
      </c>
      <c r="AK13" s="10" t="e">
        <f t="shared" si="10"/>
        <v>#N/A</v>
      </c>
      <c r="AL13" s="11" t="e">
        <f t="shared" si="11"/>
        <v>#N/A</v>
      </c>
      <c r="AM13" s="21">
        <f t="array" ref="AM13">INDEX(BO$5:BU$85,MATCH(1,(BO$5:BO$85=D13)*(BP$5:BP$85=H13)*(BQ$5:BQ$85=T13),0),4)</f>
        <v>0</v>
      </c>
      <c r="AN13" s="14">
        <f t="array" ref="AN13">INDEX(BO$5:BU$85,MATCH(1,(BO$5:BO$85=D13)*(BP$5:BP$85=H13)*(BQ$5:BQ$85=T13),0),5)</f>
        <v>0</v>
      </c>
      <c r="AO13" s="14">
        <f t="array" ref="AO13">INDEX(BO$5:BU$85,MATCH(1,(BO$5:BO$85=D13)*(BP$5:BP$85=H13)*(BQ$5:BQ$85=T13),0),6)</f>
        <v>0</v>
      </c>
      <c r="AP13" s="14">
        <f t="array" ref="AP13">INDEX(BO$5:BU$85,MATCH(1,(BO$5:BO$85=D13)*(BP$5:BP$85=H13)*(BQ$5:BQ$85=T13),0),7)</f>
        <v>0</v>
      </c>
      <c r="AQ13" s="14">
        <f t="array" ref="AQ13">INDEX(BO$5:BV$85,MATCH(1,(BO$5:BO$85=D13)*(BP$5:BP$85=H13)*(BQ$5:BQ$85=T13),0),8)</f>
        <v>0</v>
      </c>
      <c r="AR13" s="3"/>
      <c r="AS13" s="3" t="e">
        <f t="shared" si="12"/>
        <v>#VALUE!</v>
      </c>
      <c r="AT13" s="10" t="e">
        <f t="shared" si="13"/>
        <v>#VALUE!</v>
      </c>
      <c r="AU13" s="3" t="e">
        <f t="shared" si="14"/>
        <v>#N/A</v>
      </c>
      <c r="AV13" s="11" t="e">
        <f t="shared" si="15"/>
        <v>#VALUE!</v>
      </c>
      <c r="AW13" s="10" t="e">
        <f t="shared" si="16"/>
        <v>#N/A</v>
      </c>
      <c r="AX13" s="3" t="e">
        <f t="shared" si="17"/>
        <v>#N/A</v>
      </c>
      <c r="AY13" s="3" t="e">
        <f t="shared" si="18"/>
        <v>#N/A</v>
      </c>
      <c r="AZ13" s="3" t="e">
        <f t="shared" si="19"/>
        <v>#N/A</v>
      </c>
      <c r="BA13" s="11" t="e">
        <f t="shared" si="20"/>
        <v>#N/A</v>
      </c>
      <c r="BB13" s="10" t="e">
        <f t="shared" si="21"/>
        <v>#N/A</v>
      </c>
      <c r="BC13" s="7">
        <f t="shared" si="22"/>
        <v>0</v>
      </c>
      <c r="BD13" s="10" t="e">
        <f t="shared" si="23"/>
        <v>#N/A</v>
      </c>
      <c r="BE13" s="3" t="e">
        <f t="shared" si="24"/>
        <v>#N/A</v>
      </c>
      <c r="BF13" s="3" t="e">
        <f t="shared" si="25"/>
        <v>#N/A</v>
      </c>
      <c r="BG13" s="3" t="e">
        <f t="shared" si="26"/>
        <v>#N/A</v>
      </c>
      <c r="BH13" s="3" t="e">
        <f t="shared" si="27"/>
        <v>#N/A</v>
      </c>
      <c r="BI13" s="27" t="e">
        <f t="shared" si="28"/>
        <v>#N/A</v>
      </c>
      <c r="BJ13" s="7" t="e">
        <f t="shared" si="29"/>
        <v>#N/A</v>
      </c>
      <c r="BK13" s="10" t="e">
        <f t="shared" si="30"/>
        <v>#VALUE!</v>
      </c>
      <c r="BL13" s="11" t="e">
        <f t="shared" si="31"/>
        <v>#N/A</v>
      </c>
      <c r="BO13" s="6" t="s">
        <v>56</v>
      </c>
      <c r="BP13" s="23" t="s">
        <v>40</v>
      </c>
      <c r="BQ13" s="4" t="s">
        <v>40</v>
      </c>
      <c r="BR13" s="4">
        <v>112.75230000000001</v>
      </c>
      <c r="BS13" s="4">
        <v>-1.3117000000000001</v>
      </c>
      <c r="BT13" s="4">
        <f>-0.1805*1000</f>
        <v>-180.5</v>
      </c>
      <c r="BU13" s="4">
        <v>0</v>
      </c>
      <c r="BV13" s="4">
        <v>0</v>
      </c>
      <c r="BW13" s="9">
        <v>0</v>
      </c>
      <c r="BX13" s="3"/>
      <c r="BY13" s="10" t="s">
        <v>155</v>
      </c>
      <c r="BZ13" s="10">
        <v>10.4840675</v>
      </c>
      <c r="CA13" s="3">
        <v>1.94933333</v>
      </c>
      <c r="CB13" s="3">
        <v>-0.50729358999999996</v>
      </c>
      <c r="CC13" s="11">
        <v>0</v>
      </c>
      <c r="CD13" s="3"/>
      <c r="CE13" s="1"/>
      <c r="CF13" s="1"/>
      <c r="CG13" s="1"/>
      <c r="CH13" s="60" t="s">
        <v>173</v>
      </c>
      <c r="CI13" s="61"/>
      <c r="CJ13" s="61"/>
      <c r="CK13" s="61"/>
      <c r="CL13" s="62"/>
      <c r="CM13" s="6" t="s">
        <v>174</v>
      </c>
      <c r="CN13" s="1"/>
      <c r="CO13" s="1"/>
      <c r="CP13" s="87"/>
      <c r="CQ13" s="87"/>
      <c r="CR13" s="87"/>
      <c r="CS13" s="87"/>
      <c r="CT13" s="87"/>
      <c r="CU13" s="87"/>
    </row>
    <row r="14" spans="1:99" ht="15" x14ac:dyDescent="0.25">
      <c r="A14" s="32"/>
      <c r="B14" s="33"/>
      <c r="C14" s="33"/>
      <c r="D14" s="32"/>
      <c r="E14" s="33"/>
      <c r="F14" s="33"/>
      <c r="G14" s="33"/>
      <c r="H14" s="33"/>
      <c r="I14" s="32"/>
      <c r="J14" s="42"/>
      <c r="K14" s="33"/>
      <c r="L14" s="33"/>
      <c r="M14" s="33"/>
      <c r="N14" s="33"/>
      <c r="O14" s="33"/>
      <c r="P14" s="39"/>
      <c r="Q14" s="32"/>
      <c r="R14" s="33"/>
      <c r="S14" s="33"/>
      <c r="T14" s="33"/>
      <c r="U14" s="39"/>
      <c r="V14" s="55" t="str">
        <f t="shared" si="0"/>
        <v/>
      </c>
      <c r="W14" s="55" t="str">
        <f t="shared" si="1"/>
        <v/>
      </c>
      <c r="X14" s="56" t="str">
        <f t="shared" si="2"/>
        <v/>
      </c>
      <c r="Y14" s="7" t="str">
        <f t="shared" si="32"/>
        <v/>
      </c>
      <c r="Z14" s="34" t="str">
        <f t="shared" si="3"/>
        <v/>
      </c>
      <c r="AA14" s="87"/>
      <c r="AB14" s="70" t="str">
        <f t="shared" si="33"/>
        <v/>
      </c>
      <c r="AC14" s="69" t="str">
        <f t="shared" si="4"/>
        <v/>
      </c>
      <c r="AD14" s="34" t="str">
        <f t="shared" si="4"/>
        <v/>
      </c>
      <c r="AF14" s="82" t="e">
        <f t="shared" si="5"/>
        <v>#N/A</v>
      </c>
      <c r="AG14" s="7" t="e">
        <f t="shared" si="6"/>
        <v>#N/A</v>
      </c>
      <c r="AH14" s="7" t="e">
        <f t="shared" si="7"/>
        <v>#N/A</v>
      </c>
      <c r="AI14" s="7" t="e">
        <f t="shared" si="8"/>
        <v>#N/A</v>
      </c>
      <c r="AJ14" s="7" t="e">
        <f t="shared" si="9"/>
        <v>#N/A</v>
      </c>
      <c r="AK14" s="10" t="e">
        <f t="shared" si="10"/>
        <v>#N/A</v>
      </c>
      <c r="AL14" s="11" t="e">
        <f t="shared" si="11"/>
        <v>#N/A</v>
      </c>
      <c r="AM14" s="21">
        <f t="array" ref="AM14">INDEX(BO$5:BU$85,MATCH(1,(BO$5:BO$85=D14)*(BP$5:BP$85=H14)*(BQ$5:BQ$85=T14),0),4)</f>
        <v>0</v>
      </c>
      <c r="AN14" s="14">
        <f t="array" ref="AN14">INDEX(BO$5:BU$85,MATCH(1,(BO$5:BO$85=D14)*(BP$5:BP$85=H14)*(BQ$5:BQ$85=T14),0),5)</f>
        <v>0</v>
      </c>
      <c r="AO14" s="14">
        <f t="array" ref="AO14">INDEX(BO$5:BU$85,MATCH(1,(BO$5:BO$85=D14)*(BP$5:BP$85=H14)*(BQ$5:BQ$85=T14),0),6)</f>
        <v>0</v>
      </c>
      <c r="AP14" s="14">
        <f t="array" ref="AP14">INDEX(BO$5:BU$85,MATCH(1,(BO$5:BO$85=D14)*(BP$5:BP$85=H14)*(BQ$5:BQ$85=T14),0),7)</f>
        <v>0</v>
      </c>
      <c r="AQ14" s="14">
        <f t="array" ref="AQ14">INDEX(BO$5:BV$85,MATCH(1,(BO$5:BO$85=D14)*(BP$5:BP$85=H14)*(BQ$5:BQ$85=T14),0),8)</f>
        <v>0</v>
      </c>
      <c r="AR14" s="3"/>
      <c r="AS14" s="3" t="e">
        <f t="shared" si="12"/>
        <v>#VALUE!</v>
      </c>
      <c r="AT14" s="10" t="e">
        <f t="shared" si="13"/>
        <v>#VALUE!</v>
      </c>
      <c r="AU14" s="3" t="e">
        <f t="shared" si="14"/>
        <v>#N/A</v>
      </c>
      <c r="AV14" s="11" t="e">
        <f t="shared" si="15"/>
        <v>#VALUE!</v>
      </c>
      <c r="AW14" s="10" t="e">
        <f t="shared" si="16"/>
        <v>#N/A</v>
      </c>
      <c r="AX14" s="3" t="e">
        <f t="shared" si="17"/>
        <v>#N/A</v>
      </c>
      <c r="AY14" s="3" t="e">
        <f t="shared" si="18"/>
        <v>#N/A</v>
      </c>
      <c r="AZ14" s="3" t="e">
        <f t="shared" si="19"/>
        <v>#N/A</v>
      </c>
      <c r="BA14" s="11" t="e">
        <f t="shared" si="20"/>
        <v>#N/A</v>
      </c>
      <c r="BB14" s="10" t="e">
        <f t="shared" si="21"/>
        <v>#N/A</v>
      </c>
      <c r="BC14" s="7">
        <f t="shared" si="22"/>
        <v>0</v>
      </c>
      <c r="BD14" s="10" t="e">
        <f t="shared" si="23"/>
        <v>#N/A</v>
      </c>
      <c r="BE14" s="3" t="e">
        <f t="shared" si="24"/>
        <v>#N/A</v>
      </c>
      <c r="BF14" s="3" t="e">
        <f t="shared" si="25"/>
        <v>#N/A</v>
      </c>
      <c r="BG14" s="3" t="e">
        <f t="shared" si="26"/>
        <v>#N/A</v>
      </c>
      <c r="BH14" s="3" t="e">
        <f t="shared" si="27"/>
        <v>#N/A</v>
      </c>
      <c r="BI14" s="27" t="e">
        <f t="shared" si="28"/>
        <v>#N/A</v>
      </c>
      <c r="BJ14" s="7" t="e">
        <f t="shared" si="29"/>
        <v>#N/A</v>
      </c>
      <c r="BK14" s="10" t="e">
        <f t="shared" si="30"/>
        <v>#VALUE!</v>
      </c>
      <c r="BL14" s="11" t="e">
        <f t="shared" si="31"/>
        <v>#N/A</v>
      </c>
      <c r="BO14" s="7" t="s">
        <v>56</v>
      </c>
      <c r="BP14" s="10" t="s">
        <v>45</v>
      </c>
      <c r="BQ14" s="3" t="s">
        <v>40</v>
      </c>
      <c r="BR14" s="3">
        <v>132.7364</v>
      </c>
      <c r="BS14" s="3">
        <v>-1.3023</v>
      </c>
      <c r="BT14" s="3">
        <f>-0.0576*1000</f>
        <v>-57.6</v>
      </c>
      <c r="BU14" s="3">
        <v>0</v>
      </c>
      <c r="BV14" s="3">
        <v>0</v>
      </c>
      <c r="BW14" s="11">
        <v>0</v>
      </c>
      <c r="BX14" s="3"/>
      <c r="BY14" s="12" t="s">
        <v>122</v>
      </c>
      <c r="BZ14" s="12">
        <v>0</v>
      </c>
      <c r="CA14" s="5">
        <v>0</v>
      </c>
      <c r="CB14" s="5">
        <v>0</v>
      </c>
      <c r="CC14" s="13">
        <v>1</v>
      </c>
      <c r="CD14" s="3"/>
      <c r="CE14" s="1"/>
      <c r="CF14" s="1"/>
      <c r="CG14" s="1" t="s">
        <v>167</v>
      </c>
      <c r="CH14" s="23" t="s">
        <v>132</v>
      </c>
      <c r="CI14" s="4" t="s">
        <v>133</v>
      </c>
      <c r="CJ14" s="4" t="s">
        <v>134</v>
      </c>
      <c r="CK14" s="9" t="s">
        <v>135</v>
      </c>
      <c r="CL14" s="6" t="s">
        <v>137</v>
      </c>
      <c r="CM14" s="63" t="s">
        <v>175</v>
      </c>
      <c r="CN14" s="1"/>
      <c r="CO14" s="1" t="s">
        <v>14</v>
      </c>
      <c r="CP14" s="87"/>
      <c r="CQ14" s="87"/>
      <c r="CR14" s="87"/>
      <c r="CS14" s="87"/>
      <c r="CT14" s="87"/>
      <c r="CU14" s="87"/>
    </row>
    <row r="15" spans="1:99" ht="15" x14ac:dyDescent="0.25">
      <c r="A15" s="35"/>
      <c r="B15" s="36"/>
      <c r="C15" s="36"/>
      <c r="D15" s="35"/>
      <c r="E15" s="36"/>
      <c r="F15" s="36"/>
      <c r="G15" s="36"/>
      <c r="H15" s="36"/>
      <c r="I15" s="35"/>
      <c r="J15" s="43"/>
      <c r="K15" s="36"/>
      <c r="L15" s="36"/>
      <c r="M15" s="36"/>
      <c r="N15" s="36"/>
      <c r="O15" s="36"/>
      <c r="P15" s="40"/>
      <c r="Q15" s="35"/>
      <c r="R15" s="36"/>
      <c r="S15" s="36"/>
      <c r="T15" s="36"/>
      <c r="U15" s="40"/>
      <c r="V15" s="57" t="str">
        <f t="shared" si="0"/>
        <v/>
      </c>
      <c r="W15" s="57" t="str">
        <f t="shared" si="1"/>
        <v/>
      </c>
      <c r="X15" s="58" t="str">
        <f t="shared" si="2"/>
        <v/>
      </c>
      <c r="Y15" s="8" t="str">
        <f t="shared" si="32"/>
        <v/>
      </c>
      <c r="Z15" s="37" t="str">
        <f t="shared" si="3"/>
        <v/>
      </c>
      <c r="AA15" s="87"/>
      <c r="AB15" s="70" t="str">
        <f t="shared" si="33"/>
        <v/>
      </c>
      <c r="AC15" s="69" t="str">
        <f t="shared" si="4"/>
        <v/>
      </c>
      <c r="AD15" s="34" t="str">
        <f t="shared" si="4"/>
        <v/>
      </c>
      <c r="AF15" s="83" t="e">
        <f t="shared" si="5"/>
        <v>#N/A</v>
      </c>
      <c r="AG15" s="8" t="e">
        <f t="shared" si="6"/>
        <v>#N/A</v>
      </c>
      <c r="AH15" s="8" t="e">
        <f t="shared" si="7"/>
        <v>#N/A</v>
      </c>
      <c r="AI15" s="8" t="e">
        <f t="shared" si="8"/>
        <v>#N/A</v>
      </c>
      <c r="AJ15" s="8" t="e">
        <f t="shared" si="9"/>
        <v>#N/A</v>
      </c>
      <c r="AK15" s="12" t="e">
        <f t="shared" si="10"/>
        <v>#N/A</v>
      </c>
      <c r="AL15" s="13" t="e">
        <f t="shared" si="11"/>
        <v>#N/A</v>
      </c>
      <c r="AM15" s="22">
        <f t="array" ref="AM15">INDEX(BO$5:BU$85,MATCH(1,(BO$5:BO$85=D15)*(BP$5:BP$85=H15)*(BQ$5:BQ$85=T15),0),4)</f>
        <v>0</v>
      </c>
      <c r="AN15" s="19">
        <f t="array" ref="AN15">INDEX(BO$5:BU$85,MATCH(1,(BO$5:BO$85=D15)*(BP$5:BP$85=H15)*(BQ$5:BQ$85=T15),0),5)</f>
        <v>0</v>
      </c>
      <c r="AO15" s="19">
        <f t="array" ref="AO15">INDEX(BO$5:BU$85,MATCH(1,(BO$5:BO$85=D15)*(BP$5:BP$85=H15)*(BQ$5:BQ$85=T15),0),6)</f>
        <v>0</v>
      </c>
      <c r="AP15" s="19">
        <f t="array" ref="AP15">INDEX(BO$5:BU$85,MATCH(1,(BO$5:BO$85=D15)*(BP$5:BP$85=H15)*(BQ$5:BQ$85=T15),0),7)</f>
        <v>0</v>
      </c>
      <c r="AQ15" s="19">
        <f t="array" ref="AQ15">INDEX(BO$5:BV$85,MATCH(1,(BO$5:BO$85=D15)*(BP$5:BP$85=H15)*(BQ$5:BQ$85=T15),0),8)</f>
        <v>0</v>
      </c>
      <c r="AR15" s="5"/>
      <c r="AS15" s="5" t="e">
        <f t="shared" si="12"/>
        <v>#VALUE!</v>
      </c>
      <c r="AT15" s="12" t="e">
        <f t="shared" si="13"/>
        <v>#VALUE!</v>
      </c>
      <c r="AU15" s="5" t="e">
        <f t="shared" si="14"/>
        <v>#N/A</v>
      </c>
      <c r="AV15" s="13" t="e">
        <f t="shared" si="15"/>
        <v>#VALUE!</v>
      </c>
      <c r="AW15" s="12" t="e">
        <f t="shared" si="16"/>
        <v>#N/A</v>
      </c>
      <c r="AX15" s="5" t="e">
        <f t="shared" si="17"/>
        <v>#N/A</v>
      </c>
      <c r="AY15" s="5" t="e">
        <f t="shared" si="18"/>
        <v>#N/A</v>
      </c>
      <c r="AZ15" s="5" t="e">
        <f t="shared" si="19"/>
        <v>#N/A</v>
      </c>
      <c r="BA15" s="13" t="e">
        <f t="shared" si="20"/>
        <v>#N/A</v>
      </c>
      <c r="BB15" s="12" t="e">
        <f t="shared" si="21"/>
        <v>#N/A</v>
      </c>
      <c r="BC15" s="8">
        <f t="shared" si="22"/>
        <v>0</v>
      </c>
      <c r="BD15" s="12" t="e">
        <f t="shared" si="23"/>
        <v>#N/A</v>
      </c>
      <c r="BE15" s="5" t="e">
        <f t="shared" si="24"/>
        <v>#N/A</v>
      </c>
      <c r="BF15" s="5" t="e">
        <f t="shared" si="25"/>
        <v>#N/A</v>
      </c>
      <c r="BG15" s="5" t="e">
        <f t="shared" si="26"/>
        <v>#N/A</v>
      </c>
      <c r="BH15" s="5" t="e">
        <f t="shared" si="27"/>
        <v>#N/A</v>
      </c>
      <c r="BI15" s="28" t="e">
        <f t="shared" si="28"/>
        <v>#N/A</v>
      </c>
      <c r="BJ15" s="8" t="e">
        <f t="shared" si="29"/>
        <v>#N/A</v>
      </c>
      <c r="BK15" s="12" t="e">
        <f t="shared" si="30"/>
        <v>#VALUE!</v>
      </c>
      <c r="BL15" s="13" t="e">
        <f t="shared" si="31"/>
        <v>#N/A</v>
      </c>
      <c r="BO15" s="7" t="s">
        <v>56</v>
      </c>
      <c r="BP15" s="10" t="s">
        <v>40</v>
      </c>
      <c r="BQ15" s="3" t="s">
        <v>45</v>
      </c>
      <c r="BR15" s="3">
        <v>303.1352</v>
      </c>
      <c r="BS15" s="3">
        <v>-1.0851999999999999</v>
      </c>
      <c r="BT15" s="3">
        <f>-0.2974*1000</f>
        <v>-297.39999999999998</v>
      </c>
      <c r="BU15" s="3">
        <v>7.5612000000000004</v>
      </c>
      <c r="BV15" s="3">
        <v>-3.8800000000000001E-2</v>
      </c>
      <c r="BW15" s="11">
        <v>0</v>
      </c>
      <c r="BX15" s="3"/>
      <c r="BY15" s="6"/>
      <c r="BZ15" s="23"/>
      <c r="CA15" s="4"/>
      <c r="CB15" s="4"/>
      <c r="CC15" s="9"/>
      <c r="CD15" s="3"/>
      <c r="CE15" s="1"/>
      <c r="CF15" s="6" t="s">
        <v>39</v>
      </c>
      <c r="CG15" s="23">
        <v>0.86</v>
      </c>
      <c r="CH15" s="23">
        <v>3.1899999999999998E-2</v>
      </c>
      <c r="CI15" s="4">
        <v>-0.49940000000000001</v>
      </c>
      <c r="CJ15" s="4">
        <v>2.5729000000000002</v>
      </c>
      <c r="CK15" s="9">
        <v>-0.85860000000000003</v>
      </c>
      <c r="CL15" s="6">
        <v>3.5</v>
      </c>
      <c r="CM15" s="6">
        <v>-100</v>
      </c>
      <c r="CN15" s="1"/>
      <c r="CO15" s="6" t="s">
        <v>41</v>
      </c>
      <c r="CP15" s="87"/>
      <c r="CQ15" s="87"/>
      <c r="CR15" s="87"/>
      <c r="CS15" s="87"/>
      <c r="CT15" s="87"/>
      <c r="CU15" s="87"/>
    </row>
    <row r="16" spans="1:99" ht="15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7"/>
      <c r="P16" s="88"/>
      <c r="Q16" s="89"/>
      <c r="R16" s="88"/>
      <c r="S16" s="88"/>
      <c r="T16" s="88"/>
      <c r="U16" s="88"/>
      <c r="V16" s="88"/>
      <c r="W16" s="88"/>
      <c r="X16" s="88"/>
      <c r="Y16" s="88"/>
      <c r="Z16" s="88"/>
      <c r="AA16" s="87"/>
      <c r="AB16" s="70"/>
      <c r="AC16" s="69"/>
      <c r="AD16" s="34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O16" s="8" t="s">
        <v>56</v>
      </c>
      <c r="BP16" s="12" t="s">
        <v>45</v>
      </c>
      <c r="BQ16" s="5" t="s">
        <v>45</v>
      </c>
      <c r="BR16" s="5">
        <v>330.50709999999998</v>
      </c>
      <c r="BS16" s="5">
        <v>-1.0734999999999999</v>
      </c>
      <c r="BT16" s="5">
        <f>-0.1787*1000</f>
        <v>-178.7</v>
      </c>
      <c r="BU16" s="5">
        <v>7.5881999999999996</v>
      </c>
      <c r="BV16" s="5">
        <v>-3.9100000000000003E-2</v>
      </c>
      <c r="BW16" s="13">
        <v>0</v>
      </c>
      <c r="BX16" s="3"/>
      <c r="BY16" s="7"/>
      <c r="BZ16" s="10"/>
      <c r="CA16" s="3"/>
      <c r="CB16" s="3"/>
      <c r="CC16" s="11"/>
      <c r="CD16" s="3"/>
      <c r="CE16" s="1"/>
      <c r="CF16" s="7" t="s">
        <v>46</v>
      </c>
      <c r="CG16" s="10">
        <v>0.86</v>
      </c>
      <c r="CH16" s="10">
        <v>3.1899999999999998E-2</v>
      </c>
      <c r="CI16" s="3">
        <v>-0.49940000000000001</v>
      </c>
      <c r="CJ16" s="3">
        <v>2.5729000000000002</v>
      </c>
      <c r="CK16" s="11">
        <v>-0.85860000000000003</v>
      </c>
      <c r="CL16" s="7">
        <v>3.5</v>
      </c>
      <c r="CM16" s="7">
        <v>-100</v>
      </c>
      <c r="CN16" s="1"/>
      <c r="CO16" s="7" t="s">
        <v>55</v>
      </c>
      <c r="CP16" s="87"/>
      <c r="CQ16" s="87"/>
      <c r="CR16" s="87"/>
      <c r="CS16" s="87"/>
      <c r="CT16" s="87"/>
      <c r="CU16" s="87"/>
    </row>
    <row r="17" spans="1:99" ht="15" x14ac:dyDescent="0.25">
      <c r="A17" s="120" t="s">
        <v>141</v>
      </c>
      <c r="B17" s="120"/>
      <c r="C17" s="120"/>
      <c r="D17" s="78" t="s">
        <v>0</v>
      </c>
      <c r="E17" s="78"/>
      <c r="F17" s="78"/>
      <c r="G17" s="78"/>
      <c r="H17" s="78"/>
      <c r="I17" s="78"/>
      <c r="J17" s="78"/>
      <c r="K17" s="79" t="s">
        <v>1</v>
      </c>
      <c r="L17" s="79"/>
      <c r="M17" s="79"/>
      <c r="N17" s="79"/>
      <c r="O17" s="79"/>
      <c r="P17" s="79"/>
      <c r="Q17" s="80" t="s">
        <v>2</v>
      </c>
      <c r="R17" s="80"/>
      <c r="S17" s="80"/>
      <c r="T17" s="80"/>
      <c r="U17" s="80"/>
      <c r="V17" s="52" t="s">
        <v>3</v>
      </c>
      <c r="W17" s="52"/>
      <c r="X17" s="52"/>
      <c r="Y17" s="52"/>
      <c r="Z17" s="52"/>
      <c r="AA17" s="87"/>
      <c r="AB17" s="71"/>
      <c r="AC17" s="72"/>
      <c r="AD17" s="73"/>
      <c r="AF17" s="2" t="s">
        <v>4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O17" s="6" t="s">
        <v>58</v>
      </c>
      <c r="BP17" s="23" t="s">
        <v>40</v>
      </c>
      <c r="BQ17" s="4" t="s">
        <v>40</v>
      </c>
      <c r="BR17" s="4">
        <v>147.47020000000001</v>
      </c>
      <c r="BS17" s="4">
        <v>-2.1815000000000002</v>
      </c>
      <c r="BT17" s="4">
        <f>-0.2745*1000</f>
        <v>-274.5</v>
      </c>
      <c r="BU17" s="4">
        <v>0</v>
      </c>
      <c r="BV17" s="4">
        <v>0</v>
      </c>
      <c r="BW17" s="9">
        <v>0</v>
      </c>
      <c r="BX17" s="3"/>
      <c r="BY17" s="7"/>
      <c r="BZ17" s="10"/>
      <c r="CA17" s="3"/>
      <c r="CB17" s="3"/>
      <c r="CC17" s="11"/>
      <c r="CD17" s="3"/>
      <c r="CE17" s="1"/>
      <c r="CF17" s="7" t="s">
        <v>56</v>
      </c>
      <c r="CG17" s="10">
        <v>0.86</v>
      </c>
      <c r="CH17" s="10">
        <v>3.1899999999999998E-2</v>
      </c>
      <c r="CI17" s="3">
        <v>-0.49940000000000001</v>
      </c>
      <c r="CJ17" s="3">
        <v>2.5729000000000002</v>
      </c>
      <c r="CK17" s="11">
        <v>-0.85860000000000003</v>
      </c>
      <c r="CL17" s="7">
        <v>3.5</v>
      </c>
      <c r="CM17" s="7">
        <v>-100</v>
      </c>
      <c r="CN17" s="1"/>
      <c r="CO17" s="7" t="s">
        <v>57</v>
      </c>
      <c r="CP17" s="87"/>
      <c r="CQ17" s="87"/>
      <c r="CR17" s="87"/>
      <c r="CS17" s="87"/>
      <c r="CT17" s="87"/>
      <c r="CU17" s="87"/>
    </row>
    <row r="18" spans="1:99" ht="17.25" x14ac:dyDescent="0.25">
      <c r="A18" s="50" t="s">
        <v>5</v>
      </c>
      <c r="B18" s="50" t="s">
        <v>6</v>
      </c>
      <c r="C18" s="50" t="s">
        <v>7</v>
      </c>
      <c r="D18" s="50" t="s">
        <v>8</v>
      </c>
      <c r="E18" s="50" t="s">
        <v>9</v>
      </c>
      <c r="F18" s="50" t="s">
        <v>10</v>
      </c>
      <c r="G18" s="50" t="s">
        <v>128</v>
      </c>
      <c r="H18" s="50" t="s">
        <v>12</v>
      </c>
      <c r="I18" s="50"/>
      <c r="J18" s="50"/>
      <c r="K18" s="50" t="s">
        <v>15</v>
      </c>
      <c r="L18" s="118" t="s">
        <v>181</v>
      </c>
      <c r="M18" s="119"/>
      <c r="N18" s="50" t="s">
        <v>16</v>
      </c>
      <c r="O18" s="50" t="s">
        <v>17</v>
      </c>
      <c r="P18" s="50" t="s">
        <v>158</v>
      </c>
      <c r="Q18" s="50" t="s">
        <v>19</v>
      </c>
      <c r="R18" s="50" t="s">
        <v>20</v>
      </c>
      <c r="S18" s="50" t="s">
        <v>21</v>
      </c>
      <c r="T18" s="50" t="s">
        <v>22</v>
      </c>
      <c r="U18" s="50" t="s">
        <v>23</v>
      </c>
      <c r="V18" s="50" t="s">
        <v>24</v>
      </c>
      <c r="W18" s="50" t="s">
        <v>25</v>
      </c>
      <c r="X18" s="50" t="s">
        <v>188</v>
      </c>
      <c r="Y18" s="24" t="s">
        <v>190</v>
      </c>
      <c r="Z18" s="24" t="s">
        <v>126</v>
      </c>
      <c r="AA18" s="87"/>
      <c r="AB18" s="74"/>
      <c r="AC18" s="68"/>
      <c r="AD18" s="75"/>
      <c r="AF18" s="50" t="s">
        <v>187</v>
      </c>
      <c r="AG18" s="50" t="s">
        <v>86</v>
      </c>
      <c r="AH18" s="50" t="s">
        <v>18</v>
      </c>
      <c r="AI18" s="50" t="s">
        <v>11</v>
      </c>
      <c r="AJ18" s="20" t="s">
        <v>26</v>
      </c>
      <c r="AK18" s="15" t="s">
        <v>27</v>
      </c>
      <c r="AL18" s="18" t="s">
        <v>28</v>
      </c>
      <c r="AM18" s="15" t="s">
        <v>29</v>
      </c>
      <c r="AN18" s="16" t="s">
        <v>30</v>
      </c>
      <c r="AO18" s="16" t="s">
        <v>31</v>
      </c>
      <c r="AP18" s="16" t="s">
        <v>33</v>
      </c>
      <c r="AQ18" s="16" t="s">
        <v>125</v>
      </c>
      <c r="AR18" s="17"/>
      <c r="AS18" s="16" t="s">
        <v>161</v>
      </c>
      <c r="AT18" s="26" t="s">
        <v>177</v>
      </c>
      <c r="AU18" s="17" t="s">
        <v>158</v>
      </c>
      <c r="AV18" s="18" t="s">
        <v>34</v>
      </c>
      <c r="AW18" s="15" t="s">
        <v>35</v>
      </c>
      <c r="AX18" s="16" t="s">
        <v>36</v>
      </c>
      <c r="AY18" s="16" t="s">
        <v>37</v>
      </c>
      <c r="AZ18" s="17" t="s">
        <v>123</v>
      </c>
      <c r="BA18" s="18" t="s">
        <v>38</v>
      </c>
      <c r="BB18" s="15" t="s">
        <v>167</v>
      </c>
      <c r="BC18" s="17"/>
      <c r="BD18" s="26" t="s">
        <v>132</v>
      </c>
      <c r="BE18" s="17" t="s">
        <v>133</v>
      </c>
      <c r="BF18" s="17" t="s">
        <v>134</v>
      </c>
      <c r="BG18" s="17" t="s">
        <v>135</v>
      </c>
      <c r="BH18" s="17" t="s">
        <v>137</v>
      </c>
      <c r="BI18" s="25" t="s">
        <v>136</v>
      </c>
      <c r="BJ18" s="47" t="s">
        <v>176</v>
      </c>
      <c r="BK18" s="26" t="s">
        <v>139</v>
      </c>
      <c r="BL18" s="25" t="s">
        <v>138</v>
      </c>
      <c r="BO18" s="7" t="s">
        <v>58</v>
      </c>
      <c r="BP18" s="10" t="s">
        <v>45</v>
      </c>
      <c r="BQ18" s="3" t="s">
        <v>40</v>
      </c>
      <c r="BR18" s="3">
        <v>284.51100000000002</v>
      </c>
      <c r="BS18" s="3">
        <v>-2.1379000000000001</v>
      </c>
      <c r="BT18" s="3">
        <f>-0.2129*1000</f>
        <v>-212.9</v>
      </c>
      <c r="BU18" s="3">
        <v>0</v>
      </c>
      <c r="BV18" s="3">
        <v>0</v>
      </c>
      <c r="BW18" s="11">
        <v>0</v>
      </c>
      <c r="BX18" s="3"/>
      <c r="BY18" s="7"/>
      <c r="BZ18" s="10"/>
      <c r="CA18" s="3"/>
      <c r="CB18" s="3"/>
      <c r="CC18" s="11"/>
      <c r="CD18" s="3"/>
      <c r="CE18" s="1"/>
      <c r="CF18" s="7" t="s">
        <v>58</v>
      </c>
      <c r="CG18" s="10">
        <v>0.86</v>
      </c>
      <c r="CH18" s="10">
        <v>3.1899999999999998E-2</v>
      </c>
      <c r="CI18" s="3">
        <v>-0.49940000000000001</v>
      </c>
      <c r="CJ18" s="3">
        <v>2.5729000000000002</v>
      </c>
      <c r="CK18" s="11">
        <v>-0.85860000000000003</v>
      </c>
      <c r="CL18" s="7">
        <v>3.5</v>
      </c>
      <c r="CM18" s="8">
        <v>-100</v>
      </c>
      <c r="CN18" s="1"/>
      <c r="CO18" s="7" t="s">
        <v>59</v>
      </c>
      <c r="CP18" s="87"/>
      <c r="CQ18" s="87"/>
      <c r="CR18" s="87"/>
      <c r="CS18" s="87"/>
      <c r="CT18" s="87"/>
      <c r="CU18" s="87"/>
    </row>
    <row r="19" spans="1:99" ht="15" x14ac:dyDescent="0.25">
      <c r="A19" s="29"/>
      <c r="B19" s="30"/>
      <c r="C19" s="30"/>
      <c r="D19" s="29" t="s">
        <v>182</v>
      </c>
      <c r="E19" s="30">
        <v>20</v>
      </c>
      <c r="F19" s="30"/>
      <c r="G19" s="30">
        <v>2</v>
      </c>
      <c r="H19" s="38" t="s">
        <v>40</v>
      </c>
      <c r="I19" s="44"/>
      <c r="J19" s="84"/>
      <c r="K19" s="30" t="s">
        <v>42</v>
      </c>
      <c r="L19" s="30" t="s">
        <v>179</v>
      </c>
      <c r="M19" s="30">
        <v>2.2000000000000002</v>
      </c>
      <c r="N19" s="30">
        <v>27</v>
      </c>
      <c r="O19" s="30" t="s">
        <v>43</v>
      </c>
      <c r="P19" s="38" t="s">
        <v>160</v>
      </c>
      <c r="Q19" s="29" t="s">
        <v>44</v>
      </c>
      <c r="R19" s="30"/>
      <c r="S19" s="30"/>
      <c r="T19" s="30"/>
      <c r="U19" s="38"/>
      <c r="V19" s="53">
        <f t="shared" ref="V19:V28" si="34">IFERROR(10000*(N19/100)*AH19*AJ19*AG19%,"")</f>
        <v>82.659614399999995</v>
      </c>
      <c r="W19" s="53">
        <f t="shared" ref="W19:W28" si="35">IFERROR(AV19+BA19+BC19,"")</f>
        <v>277.90257317670967</v>
      </c>
      <c r="X19" s="54">
        <f t="shared" ref="X19:X28" si="36">IF(AND(V19&lt;&gt;"",W19&lt;&gt;""),W19/(V19*1000)*100,"")</f>
        <v>0.33620114876402052</v>
      </c>
      <c r="Y19" s="6" t="str">
        <f>IF(W19&lt;&gt;"",IF(W19&lt;BY$62,BZ$62,IF(W19&lt;BY$63,BZ$63,IF(W19&lt;BY$64,BZ$64,IF(W19&lt;BY$65,BZ$65,BZ$66)))),"")</f>
        <v>Kõrge, sobib eeskätt madala huumussisaldusega muldadele</v>
      </c>
      <c r="Z19" s="31" t="str">
        <f t="shared" ref="Z19:Z28" si="37">IFERROR(IF(BL19=1,$BZ$58,""),"")</f>
        <v/>
      </c>
      <c r="AA19" s="87"/>
      <c r="AB19" s="70">
        <f>IFERROR($E19*V19,"")</f>
        <v>1653.192288</v>
      </c>
      <c r="AC19" s="69">
        <f t="shared" ref="AC19:AD28" si="38">IFERROR($E19*W19,"")</f>
        <v>5558.0514635341933</v>
      </c>
      <c r="AD19" s="34">
        <f t="shared" si="38"/>
        <v>6.7240229752804108</v>
      </c>
      <c r="AF19" s="81">
        <f t="shared" ref="AF19:AF28" si="39">VLOOKUP(K19,BY$29:CB$34,4,0)</f>
        <v>0.96</v>
      </c>
      <c r="AG19" s="6">
        <f t="shared" ref="AG19:AG28" si="40">VLOOKUP(L19,$BY$43:$BZ$44,2,0)*M19</f>
        <v>2.2000000000000002</v>
      </c>
      <c r="AH19" s="6">
        <f t="shared" ref="AH19:AH28" si="41">AK19+AL19*AG19</f>
        <v>1.4803999999999999</v>
      </c>
      <c r="AI19" s="6">
        <f t="shared" ref="AI19:AI28" si="42">$G19*$BB19</f>
        <v>1.72</v>
      </c>
      <c r="AJ19" s="7">
        <f t="shared" ref="AJ19:AJ28" si="43">VLOOKUP(O19,BY$47:BZ$53,2,0)</f>
        <v>0.94</v>
      </c>
      <c r="AK19" s="10">
        <f t="shared" ref="AK19:AK28" si="44">VLOOKUP(K19,BY$29:CA$34,2,0)</f>
        <v>1.63</v>
      </c>
      <c r="AL19" s="11">
        <f t="shared" ref="AL19:AL28" si="45">VLOOKUP(K19,BY$29:CA$34,3,0)</f>
        <v>-6.8000000000000005E-2</v>
      </c>
      <c r="AM19" s="21">
        <f t="array" ref="AM19">INDEX(BO$5:BU$85,MATCH(1,(BO$5:BO$85=D19)*(BP$5:BP$85=H19)*(BQ$5:BQ$85=T19),0),4)</f>
        <v>18.090119999999999</v>
      </c>
      <c r="AN19" s="14">
        <f t="array" ref="AN19">INDEX(BO$5:BU$85,MATCH(1,(BO$5:BO$85=D19)*(BP$5:BP$85=H19)*(BQ$5:BQ$85=T19),0),5)</f>
        <v>-0.41366999999999998</v>
      </c>
      <c r="AO19" s="14">
        <f t="array" ref="AO19">INDEX(BO$5:BU$85,MATCH(1,(BO$5:BO$85=D19)*(BP$5:BP$85=H19)*(BQ$5:BQ$85=T19),0),6)</f>
        <v>163.24</v>
      </c>
      <c r="AP19" s="14">
        <f t="array" ref="AP19">INDEX(BO$5:BU$85,MATCH(1,(BO$5:BO$85=D19)*(BP$5:BP$85=H19)*(BQ$5:BQ$85=T19),0),7)</f>
        <v>0</v>
      </c>
      <c r="AQ19" s="14">
        <f t="array" ref="AQ19">INDEX(BO$5:BV$85,MATCH(1,(BO$5:BO$85=D19)*(BP$5:BP$85=H19)*(BQ$5:BQ$85=T19),0),8)</f>
        <v>0</v>
      </c>
      <c r="AR19" s="3"/>
      <c r="AS19" s="3">
        <f t="shared" ref="AS19:AS28" si="46">AM19+V19*AN19+AI19*AO19+AP19*U19+AQ19*U19*U19</f>
        <v>264.66911731115204</v>
      </c>
      <c r="AT19" s="10">
        <f t="shared" ref="AT19:AT28" si="47">IF(BK19=1,BJ19,AS19)</f>
        <v>264.66911731115204</v>
      </c>
      <c r="AU19" s="3">
        <f t="shared" ref="AU19:AU28" si="48">VLOOKUP(P19,$CH$44:$CI$45,2,0)</f>
        <v>0.05</v>
      </c>
      <c r="AV19" s="11">
        <f t="shared" ref="AV19:AV28" si="49">AT19+ABS(AT19*AU19)</f>
        <v>277.90257317670967</v>
      </c>
      <c r="AW19" s="10">
        <f t="shared" ref="AW19:AW28" si="50">VLOOKUP(Q19,BY$5:CB$25,2,0)</f>
        <v>0</v>
      </c>
      <c r="AX19" s="3">
        <f t="shared" ref="AX19:AX28" si="51">VLOOKUP(Q19,BY$5:CB$25,3,0)</f>
        <v>0</v>
      </c>
      <c r="AY19" s="3">
        <f t="shared" ref="AY19:AY28" si="52">VLOOKUP(Q19,BY$5:CB$25,4,0)</f>
        <v>0</v>
      </c>
      <c r="AZ19" s="3">
        <f t="shared" ref="AZ19:AZ28" si="53">VLOOKUP(Q19,BY$5:CD$25,5,0)*120</f>
        <v>0</v>
      </c>
      <c r="BA19" s="11">
        <f t="shared" ref="BA19:BA28" si="54">(((AW19+S19*AX19+R19*AY19)*R19)+AZ19)*AF19</f>
        <v>0</v>
      </c>
      <c r="BB19" s="10">
        <f t="shared" ref="BB19:BB28" si="55">VLOOKUP($D19,$CF$15:$CG$32,2,0)</f>
        <v>0.86</v>
      </c>
      <c r="BC19" s="3"/>
      <c r="BD19" s="10">
        <f t="shared" ref="BD19:BD28" si="56">VLOOKUP($D19,$CF$15:$CK$32,3,0)</f>
        <v>0</v>
      </c>
      <c r="BE19" s="3">
        <f t="shared" ref="BE19:BE28" si="57">VLOOKUP($D19,$CF$15:$CK$32,4,0)</f>
        <v>0</v>
      </c>
      <c r="BF19" s="3">
        <f t="shared" ref="BF19:BF28" si="58">VLOOKUP($D19,$CF$15:$CK$32,5,0)</f>
        <v>0</v>
      </c>
      <c r="BG19" s="3">
        <f t="shared" ref="BG19:BG28" si="59">VLOOKUP($D19,$CF$15:$CK$32,6,0)</f>
        <v>0</v>
      </c>
      <c r="BH19" s="3">
        <f t="shared" ref="BH19:BH28" si="60">VLOOKUP($D19,$CF$15:$CL$32,7,0)</f>
        <v>0</v>
      </c>
      <c r="BI19" s="27">
        <f t="shared" ref="BI19:BI28" si="61">IF(AG19&gt;6,BH19,BD19*AG19*AG19*AG19+BE19*AG19*AG19+BF19*AG19+BG19)</f>
        <v>0</v>
      </c>
      <c r="BJ19" s="7">
        <f t="shared" ref="BJ19:BJ28" si="62">VLOOKUP($D19,$CF$15:$CM$32,8,0)</f>
        <v>0</v>
      </c>
      <c r="BK19" s="10" t="str">
        <f t="shared" ref="BK19:BK28" si="63">IF(AND(T19="jah",AS19&gt;BJ19,BJ19&lt;&gt;0),1,"")</f>
        <v/>
      </c>
      <c r="BL19" s="11" t="str">
        <f t="shared" ref="BL19:BL28" si="64">IF(AND(T19="ei",Q19=$BY$5,G19&gt;BI19,BI19&gt;0),1,"")</f>
        <v/>
      </c>
      <c r="BO19" s="7" t="s">
        <v>58</v>
      </c>
      <c r="BP19" s="10" t="s">
        <v>40</v>
      </c>
      <c r="BQ19" s="3" t="s">
        <v>45</v>
      </c>
      <c r="BR19" s="3">
        <v>190.83090000000001</v>
      </c>
      <c r="BS19" s="3">
        <v>-1.7363</v>
      </c>
      <c r="BT19" s="3">
        <f>-0.3066*1000</f>
        <v>-306.59999999999997</v>
      </c>
      <c r="BU19" s="3">
        <v>10.3108</v>
      </c>
      <c r="BV19" s="3">
        <v>-3.7999999999999999E-2</v>
      </c>
      <c r="BW19" s="11">
        <v>0</v>
      </c>
      <c r="BX19" s="3"/>
      <c r="BY19" s="7"/>
      <c r="BZ19" s="10"/>
      <c r="CA19" s="3"/>
      <c r="CB19" s="3"/>
      <c r="CC19" s="11"/>
      <c r="CD19" s="3"/>
      <c r="CE19" s="1"/>
      <c r="CF19" s="23" t="s">
        <v>182</v>
      </c>
      <c r="CG19" s="6">
        <v>0.86</v>
      </c>
      <c r="CH19" s="4"/>
      <c r="CI19" s="4"/>
      <c r="CJ19" s="4"/>
      <c r="CK19" s="4"/>
      <c r="CL19" s="6"/>
      <c r="CM19" s="6"/>
      <c r="CN19" s="1"/>
      <c r="CO19" s="7" t="s">
        <v>60</v>
      </c>
      <c r="CP19" s="87"/>
      <c r="CQ19" s="87"/>
      <c r="CR19" s="87"/>
      <c r="CS19" s="87"/>
      <c r="CT19" s="87"/>
      <c r="CU19" s="87"/>
    </row>
    <row r="20" spans="1:99" ht="15" x14ac:dyDescent="0.25">
      <c r="A20" s="32"/>
      <c r="B20" s="33"/>
      <c r="C20" s="33"/>
      <c r="D20" s="32" t="s">
        <v>62</v>
      </c>
      <c r="E20" s="33">
        <v>20</v>
      </c>
      <c r="F20" s="33"/>
      <c r="G20" s="33">
        <v>2</v>
      </c>
      <c r="H20" s="39" t="s">
        <v>45</v>
      </c>
      <c r="I20" s="45"/>
      <c r="J20" s="85"/>
      <c r="K20" s="33" t="s">
        <v>42</v>
      </c>
      <c r="L20" s="33" t="s">
        <v>179</v>
      </c>
      <c r="M20" s="33">
        <v>2.2000000000000002</v>
      </c>
      <c r="N20" s="33">
        <v>27</v>
      </c>
      <c r="O20" s="33" t="s">
        <v>43</v>
      </c>
      <c r="P20" s="39" t="s">
        <v>152</v>
      </c>
      <c r="Q20" s="32" t="s">
        <v>61</v>
      </c>
      <c r="R20" s="33">
        <v>25</v>
      </c>
      <c r="S20" s="33">
        <v>15</v>
      </c>
      <c r="T20" s="33" t="s">
        <v>40</v>
      </c>
      <c r="U20" s="39"/>
      <c r="V20" s="55">
        <f t="shared" si="34"/>
        <v>82.659614399999995</v>
      </c>
      <c r="W20" s="55">
        <f t="shared" si="35"/>
        <v>726.92008602720011</v>
      </c>
      <c r="X20" s="56">
        <f t="shared" si="36"/>
        <v>0.87941383625326985</v>
      </c>
      <c r="Y20" s="7" t="str">
        <f t="shared" ref="Y20:Y28" si="65">IF(W20&lt;&gt;"",IF(W20&lt;BY$62,BZ$62,IF(W20&lt;BY$63,BZ$63,IF(W20&lt;BY$64,BZ$64,IF(W20&lt;BY$65,BZ$65,BZ$66)))),"")</f>
        <v>Väga kõrge, suureneb lämmastiku leostumise oht</v>
      </c>
      <c r="Z20" s="34" t="str">
        <f t="shared" si="37"/>
        <v/>
      </c>
      <c r="AA20" s="87"/>
      <c r="AB20" s="70">
        <f t="shared" ref="AB20:AB28" si="66">IFERROR($E20*V20,"")</f>
        <v>1653.192288</v>
      </c>
      <c r="AC20" s="69">
        <f t="shared" si="38"/>
        <v>14538.401720544003</v>
      </c>
      <c r="AD20" s="34">
        <f t="shared" si="38"/>
        <v>17.588276725065398</v>
      </c>
      <c r="AF20" s="82">
        <f t="shared" si="39"/>
        <v>0.96</v>
      </c>
      <c r="AG20" s="7">
        <f t="shared" si="40"/>
        <v>2.2000000000000002</v>
      </c>
      <c r="AH20" s="7">
        <f t="shared" si="41"/>
        <v>1.4803999999999999</v>
      </c>
      <c r="AI20" s="7">
        <f t="shared" si="42"/>
        <v>1.82</v>
      </c>
      <c r="AJ20" s="7">
        <f t="shared" si="43"/>
        <v>0.94</v>
      </c>
      <c r="AK20" s="10">
        <f t="shared" si="44"/>
        <v>1.63</v>
      </c>
      <c r="AL20" s="11">
        <f t="shared" si="45"/>
        <v>-6.8000000000000005E-2</v>
      </c>
      <c r="AM20" s="21">
        <f t="array" ref="AM20">INDEX(BO$5:BU$85,MATCH(1,(BO$5:BO$85=D20)*(BP$5:BP$85=H20)*(BQ$5:BQ$85=T20),0),4)</f>
        <v>1146.635</v>
      </c>
      <c r="AN20" s="14">
        <f t="array" ref="AN20">INDEX(BO$5:BU$85,MATCH(1,(BO$5:BO$85=D20)*(BP$5:BP$85=H20)*(BQ$5:BQ$85=T20),0),5)</f>
        <v>-7.8869999999999996</v>
      </c>
      <c r="AO20" s="14">
        <f t="array" ref="AO20">INDEX(BO$5:BU$85,MATCH(1,(BO$5:BO$85=D20)*(BP$5:BP$85=H20)*(BQ$5:BQ$85=T20),0),6)</f>
        <v>-229</v>
      </c>
      <c r="AP20" s="14">
        <f t="array" ref="AP20">INDEX(BO$5:BU$85,MATCH(1,(BO$5:BO$85=D20)*(BP$5:BP$85=H20)*(BQ$5:BQ$85=T20),0),7)</f>
        <v>0</v>
      </c>
      <c r="AQ20" s="14">
        <f t="array" ref="AQ20">INDEX(BO$5:BV$85,MATCH(1,(BO$5:BO$85=D20)*(BP$5:BP$85=H20)*(BQ$5:BQ$85=T20),0),8)</f>
        <v>0</v>
      </c>
      <c r="AR20" s="3"/>
      <c r="AS20" s="3">
        <f t="shared" si="46"/>
        <v>77.918621227200049</v>
      </c>
      <c r="AT20" s="10">
        <f t="shared" si="47"/>
        <v>77.918621227200049</v>
      </c>
      <c r="AU20" s="3">
        <f t="shared" si="48"/>
        <v>0</v>
      </c>
      <c r="AV20" s="11">
        <f t="shared" si="49"/>
        <v>77.918621227200049</v>
      </c>
      <c r="AW20" s="10">
        <f t="shared" si="50"/>
        <v>10.4840675</v>
      </c>
      <c r="AX20" s="3">
        <f t="shared" si="51"/>
        <v>1.94933333</v>
      </c>
      <c r="AY20" s="3">
        <f t="shared" si="52"/>
        <v>-0.50729358999999996</v>
      </c>
      <c r="AZ20" s="3">
        <f t="shared" si="53"/>
        <v>0</v>
      </c>
      <c r="BA20" s="11">
        <f t="shared" si="54"/>
        <v>649.00146480000001</v>
      </c>
      <c r="BB20" s="10">
        <f t="shared" si="55"/>
        <v>0.91</v>
      </c>
      <c r="BC20" s="3"/>
      <c r="BD20" s="10">
        <f t="shared" si="56"/>
        <v>1.7899999999999999E-2</v>
      </c>
      <c r="BE20" s="3">
        <f t="shared" si="57"/>
        <v>-0.28160000000000002</v>
      </c>
      <c r="BF20" s="3">
        <f t="shared" si="58"/>
        <v>1.4677</v>
      </c>
      <c r="BG20" s="3">
        <f t="shared" si="59"/>
        <v>-0.23100000000000001</v>
      </c>
      <c r="BH20" s="3">
        <f t="shared" si="60"/>
        <v>2.2999999999999998</v>
      </c>
      <c r="BI20" s="27">
        <f t="shared" si="61"/>
        <v>1.8255952000000002</v>
      </c>
      <c r="BJ20" s="7">
        <f t="shared" si="62"/>
        <v>-100</v>
      </c>
      <c r="BK20" s="10" t="str">
        <f t="shared" si="63"/>
        <v/>
      </c>
      <c r="BL20" s="11" t="str">
        <f t="shared" si="64"/>
        <v/>
      </c>
      <c r="BO20" s="8" t="s">
        <v>58</v>
      </c>
      <c r="BP20" s="10" t="s">
        <v>45</v>
      </c>
      <c r="BQ20" s="3" t="s">
        <v>45</v>
      </c>
      <c r="BR20" s="3">
        <v>340.69709999999998</v>
      </c>
      <c r="BS20" s="3">
        <v>-1.7654000000000001</v>
      </c>
      <c r="BT20" s="3">
        <f>-0.2477*1000</f>
        <v>-247.70000000000002</v>
      </c>
      <c r="BU20" s="3">
        <v>10.547499999999999</v>
      </c>
      <c r="BV20" s="3">
        <v>-3.95E-2</v>
      </c>
      <c r="BW20" s="11">
        <v>0</v>
      </c>
      <c r="BX20" s="3"/>
      <c r="BY20" s="7"/>
      <c r="BZ20" s="10"/>
      <c r="CA20" s="3"/>
      <c r="CB20" s="3"/>
      <c r="CC20" s="11"/>
      <c r="CD20" s="3"/>
      <c r="CE20" s="1"/>
      <c r="CF20" s="10" t="s">
        <v>62</v>
      </c>
      <c r="CG20" s="7">
        <v>0.91</v>
      </c>
      <c r="CH20" s="3">
        <v>1.7899999999999999E-2</v>
      </c>
      <c r="CI20" s="3">
        <v>-0.28160000000000002</v>
      </c>
      <c r="CJ20" s="3">
        <v>1.4677</v>
      </c>
      <c r="CK20" s="3">
        <v>-0.23100000000000001</v>
      </c>
      <c r="CL20" s="7">
        <v>2.2999999999999998</v>
      </c>
      <c r="CM20" s="7">
        <v>-100</v>
      </c>
      <c r="CN20" s="1"/>
      <c r="CO20" s="7" t="s">
        <v>63</v>
      </c>
      <c r="CP20" s="87"/>
      <c r="CQ20" s="87"/>
      <c r="CR20" s="87"/>
      <c r="CS20" s="87"/>
      <c r="CT20" s="87"/>
      <c r="CU20" s="87"/>
    </row>
    <row r="21" spans="1:99" ht="15" x14ac:dyDescent="0.25">
      <c r="A21" s="32"/>
      <c r="B21" s="33"/>
      <c r="C21" s="33"/>
      <c r="D21" s="32"/>
      <c r="E21" s="33"/>
      <c r="F21" s="33"/>
      <c r="G21" s="33"/>
      <c r="H21" s="39"/>
      <c r="I21" s="45"/>
      <c r="J21" s="85"/>
      <c r="K21" s="33"/>
      <c r="L21" s="33"/>
      <c r="M21" s="33"/>
      <c r="N21" s="33"/>
      <c r="O21" s="33"/>
      <c r="P21" s="39"/>
      <c r="Q21" s="32"/>
      <c r="R21" s="33"/>
      <c r="S21" s="33"/>
      <c r="T21" s="33"/>
      <c r="U21" s="39"/>
      <c r="V21" s="55" t="str">
        <f t="shared" si="34"/>
        <v/>
      </c>
      <c r="W21" s="55" t="str">
        <f t="shared" si="35"/>
        <v/>
      </c>
      <c r="X21" s="56" t="str">
        <f t="shared" si="36"/>
        <v/>
      </c>
      <c r="Y21" s="7" t="str">
        <f t="shared" si="65"/>
        <v/>
      </c>
      <c r="Z21" s="34" t="str">
        <f t="shared" si="37"/>
        <v/>
      </c>
      <c r="AA21" s="87"/>
      <c r="AB21" s="70" t="str">
        <f t="shared" si="66"/>
        <v/>
      </c>
      <c r="AC21" s="69" t="str">
        <f t="shared" si="38"/>
        <v/>
      </c>
      <c r="AD21" s="34" t="str">
        <f t="shared" si="38"/>
        <v/>
      </c>
      <c r="AF21" s="82" t="e">
        <f t="shared" si="39"/>
        <v>#N/A</v>
      </c>
      <c r="AG21" s="7" t="e">
        <f t="shared" si="40"/>
        <v>#N/A</v>
      </c>
      <c r="AH21" s="7" t="e">
        <f t="shared" si="41"/>
        <v>#N/A</v>
      </c>
      <c r="AI21" s="7" t="e">
        <f t="shared" si="42"/>
        <v>#N/A</v>
      </c>
      <c r="AJ21" s="7" t="e">
        <f t="shared" si="43"/>
        <v>#N/A</v>
      </c>
      <c r="AK21" s="10" t="e">
        <f t="shared" si="44"/>
        <v>#N/A</v>
      </c>
      <c r="AL21" s="11" t="e">
        <f t="shared" si="45"/>
        <v>#N/A</v>
      </c>
      <c r="AM21" s="21">
        <f t="array" ref="AM21">INDEX(BO$5:BU$85,MATCH(1,(BO$5:BO$85=D21)*(BP$5:BP$85=H21)*(BQ$5:BQ$85=T21),0),4)</f>
        <v>0</v>
      </c>
      <c r="AN21" s="14">
        <f t="array" ref="AN21">INDEX(BO$5:BU$85,MATCH(1,(BO$5:BO$85=D21)*(BP$5:BP$85=H21)*(BQ$5:BQ$85=T21),0),5)</f>
        <v>0</v>
      </c>
      <c r="AO21" s="14">
        <f t="array" ref="AO21">INDEX(BO$5:BU$85,MATCH(1,(BO$5:BO$85=D21)*(BP$5:BP$85=H21)*(BQ$5:BQ$85=T21),0),6)</f>
        <v>0</v>
      </c>
      <c r="AP21" s="14">
        <f t="array" ref="AP21">INDEX(BO$5:BU$85,MATCH(1,(BO$5:BO$85=D21)*(BP$5:BP$85=H21)*(BQ$5:BQ$85=T21),0),7)</f>
        <v>0</v>
      </c>
      <c r="AQ21" s="14">
        <f t="array" ref="AQ21">INDEX(BO$5:BV$85,MATCH(1,(BO$5:BO$85=D21)*(BP$5:BP$85=H21)*(BQ$5:BQ$85=T21),0),8)</f>
        <v>0</v>
      </c>
      <c r="AR21" s="3"/>
      <c r="AS21" s="3" t="e">
        <f t="shared" si="46"/>
        <v>#VALUE!</v>
      </c>
      <c r="AT21" s="10" t="e">
        <f t="shared" si="47"/>
        <v>#VALUE!</v>
      </c>
      <c r="AU21" s="3" t="e">
        <f t="shared" si="48"/>
        <v>#N/A</v>
      </c>
      <c r="AV21" s="11" t="e">
        <f t="shared" si="49"/>
        <v>#VALUE!</v>
      </c>
      <c r="AW21" s="10" t="e">
        <f t="shared" si="50"/>
        <v>#N/A</v>
      </c>
      <c r="AX21" s="3" t="e">
        <f t="shared" si="51"/>
        <v>#N/A</v>
      </c>
      <c r="AY21" s="3" t="e">
        <f t="shared" si="52"/>
        <v>#N/A</v>
      </c>
      <c r="AZ21" s="3" t="e">
        <f t="shared" si="53"/>
        <v>#N/A</v>
      </c>
      <c r="BA21" s="11" t="e">
        <f t="shared" si="54"/>
        <v>#N/A</v>
      </c>
      <c r="BB21" s="10" t="e">
        <f t="shared" si="55"/>
        <v>#N/A</v>
      </c>
      <c r="BC21" s="3"/>
      <c r="BD21" s="10" t="e">
        <f t="shared" si="56"/>
        <v>#N/A</v>
      </c>
      <c r="BE21" s="3" t="e">
        <f t="shared" si="57"/>
        <v>#N/A</v>
      </c>
      <c r="BF21" s="3" t="e">
        <f t="shared" si="58"/>
        <v>#N/A</v>
      </c>
      <c r="BG21" s="3" t="e">
        <f t="shared" si="59"/>
        <v>#N/A</v>
      </c>
      <c r="BH21" s="3" t="e">
        <f t="shared" si="60"/>
        <v>#N/A</v>
      </c>
      <c r="BI21" s="27" t="e">
        <f t="shared" si="61"/>
        <v>#N/A</v>
      </c>
      <c r="BJ21" s="7" t="e">
        <f t="shared" si="62"/>
        <v>#N/A</v>
      </c>
      <c r="BK21" s="10" t="e">
        <f t="shared" si="63"/>
        <v>#VALUE!</v>
      </c>
      <c r="BL21" s="11" t="e">
        <f t="shared" si="64"/>
        <v>#N/A</v>
      </c>
      <c r="BO21" s="23" t="s">
        <v>182</v>
      </c>
      <c r="BP21" s="23" t="s">
        <v>40</v>
      </c>
      <c r="BQ21" s="4" t="s">
        <v>40</v>
      </c>
      <c r="BR21" s="4">
        <v>18.090119999999999</v>
      </c>
      <c r="BS21" s="4">
        <v>-0.41366999999999998</v>
      </c>
      <c r="BT21" s="4">
        <f>0.16324*1000</f>
        <v>163.24</v>
      </c>
      <c r="BU21" s="4">
        <v>0</v>
      </c>
      <c r="BV21" s="4">
        <v>0</v>
      </c>
      <c r="BW21" s="9">
        <v>0</v>
      </c>
      <c r="BX21" s="3"/>
      <c r="BY21" s="7"/>
      <c r="BZ21" s="10"/>
      <c r="CA21" s="3"/>
      <c r="CB21" s="3"/>
      <c r="CC21" s="11"/>
      <c r="CD21" s="3"/>
      <c r="CE21" s="1"/>
      <c r="CF21" s="10" t="s">
        <v>64</v>
      </c>
      <c r="CG21" s="7">
        <v>1</v>
      </c>
      <c r="CH21" s="3">
        <v>5.4600000000000003E-2</v>
      </c>
      <c r="CI21" s="3">
        <v>-1.3545</v>
      </c>
      <c r="CJ21" s="3">
        <v>9.8516999999999992</v>
      </c>
      <c r="CK21" s="3">
        <v>2.8389000000000002</v>
      </c>
      <c r="CL21" s="7">
        <v>25</v>
      </c>
      <c r="CM21" s="7">
        <v>-500</v>
      </c>
      <c r="CN21" s="1"/>
      <c r="CO21" s="7" t="s">
        <v>65</v>
      </c>
      <c r="CP21" s="87"/>
      <c r="CQ21" s="87"/>
      <c r="CR21" s="87"/>
      <c r="CS21" s="87"/>
      <c r="CT21" s="87"/>
      <c r="CU21" s="87"/>
    </row>
    <row r="22" spans="1:99" ht="15" x14ac:dyDescent="0.25">
      <c r="A22" s="32"/>
      <c r="B22" s="33"/>
      <c r="C22" s="33"/>
      <c r="D22" s="32"/>
      <c r="E22" s="33"/>
      <c r="F22" s="33"/>
      <c r="G22" s="33"/>
      <c r="H22" s="39"/>
      <c r="I22" s="45"/>
      <c r="J22" s="85"/>
      <c r="K22" s="33"/>
      <c r="L22" s="33"/>
      <c r="M22" s="33"/>
      <c r="N22" s="33"/>
      <c r="O22" s="33"/>
      <c r="P22" s="39"/>
      <c r="Q22" s="32"/>
      <c r="R22" s="33"/>
      <c r="S22" s="33"/>
      <c r="T22" s="33"/>
      <c r="U22" s="39"/>
      <c r="V22" s="55" t="str">
        <f t="shared" si="34"/>
        <v/>
      </c>
      <c r="W22" s="55" t="str">
        <f t="shared" si="35"/>
        <v/>
      </c>
      <c r="X22" s="56" t="str">
        <f t="shared" si="36"/>
        <v/>
      </c>
      <c r="Y22" s="7" t="str">
        <f t="shared" si="65"/>
        <v/>
      </c>
      <c r="Z22" s="34" t="str">
        <f t="shared" si="37"/>
        <v/>
      </c>
      <c r="AA22" s="87"/>
      <c r="AB22" s="70" t="str">
        <f t="shared" si="66"/>
        <v/>
      </c>
      <c r="AC22" s="69" t="str">
        <f t="shared" si="38"/>
        <v/>
      </c>
      <c r="AD22" s="34" t="str">
        <f t="shared" si="38"/>
        <v/>
      </c>
      <c r="AF22" s="82" t="e">
        <f t="shared" si="39"/>
        <v>#N/A</v>
      </c>
      <c r="AG22" s="7" t="e">
        <f t="shared" si="40"/>
        <v>#N/A</v>
      </c>
      <c r="AH22" s="7" t="e">
        <f t="shared" si="41"/>
        <v>#N/A</v>
      </c>
      <c r="AI22" s="7" t="e">
        <f t="shared" si="42"/>
        <v>#N/A</v>
      </c>
      <c r="AJ22" s="7" t="e">
        <f t="shared" si="43"/>
        <v>#N/A</v>
      </c>
      <c r="AK22" s="10" t="e">
        <f t="shared" si="44"/>
        <v>#N/A</v>
      </c>
      <c r="AL22" s="11" t="e">
        <f t="shared" si="45"/>
        <v>#N/A</v>
      </c>
      <c r="AM22" s="21">
        <f t="array" ref="AM22">INDEX(BO$5:BU$85,MATCH(1,(BO$5:BO$85=D22)*(BP$5:BP$85=H22)*(BQ$5:BQ$85=T22),0),4)</f>
        <v>0</v>
      </c>
      <c r="AN22" s="14">
        <f t="array" ref="AN22">INDEX(BO$5:BU$85,MATCH(1,(BO$5:BO$85=D22)*(BP$5:BP$85=H22)*(BQ$5:BQ$85=T22),0),5)</f>
        <v>0</v>
      </c>
      <c r="AO22" s="14">
        <f t="array" ref="AO22">INDEX(BO$5:BU$85,MATCH(1,(BO$5:BO$85=D22)*(BP$5:BP$85=H22)*(BQ$5:BQ$85=T22),0),6)</f>
        <v>0</v>
      </c>
      <c r="AP22" s="14">
        <f t="array" ref="AP22">INDEX(BO$5:BU$85,MATCH(1,(BO$5:BO$85=D22)*(BP$5:BP$85=H22)*(BQ$5:BQ$85=T22),0),7)</f>
        <v>0</v>
      </c>
      <c r="AQ22" s="14">
        <f t="array" ref="AQ22">INDEX(BO$5:BV$85,MATCH(1,(BO$5:BO$85=D22)*(BP$5:BP$85=H22)*(BQ$5:BQ$85=T22),0),8)</f>
        <v>0</v>
      </c>
      <c r="AR22" s="3"/>
      <c r="AS22" s="3" t="e">
        <f t="shared" si="46"/>
        <v>#VALUE!</v>
      </c>
      <c r="AT22" s="10" t="e">
        <f t="shared" si="47"/>
        <v>#VALUE!</v>
      </c>
      <c r="AU22" s="3" t="e">
        <f t="shared" si="48"/>
        <v>#N/A</v>
      </c>
      <c r="AV22" s="11" t="e">
        <f t="shared" si="49"/>
        <v>#VALUE!</v>
      </c>
      <c r="AW22" s="10" t="e">
        <f t="shared" si="50"/>
        <v>#N/A</v>
      </c>
      <c r="AX22" s="3" t="e">
        <f t="shared" si="51"/>
        <v>#N/A</v>
      </c>
      <c r="AY22" s="3" t="e">
        <f t="shared" si="52"/>
        <v>#N/A</v>
      </c>
      <c r="AZ22" s="3" t="e">
        <f t="shared" si="53"/>
        <v>#N/A</v>
      </c>
      <c r="BA22" s="11" t="e">
        <f t="shared" si="54"/>
        <v>#N/A</v>
      </c>
      <c r="BB22" s="10" t="e">
        <f t="shared" si="55"/>
        <v>#N/A</v>
      </c>
      <c r="BC22" s="3"/>
      <c r="BD22" s="10" t="e">
        <f t="shared" si="56"/>
        <v>#N/A</v>
      </c>
      <c r="BE22" s="3" t="e">
        <f t="shared" si="57"/>
        <v>#N/A</v>
      </c>
      <c r="BF22" s="3" t="e">
        <f t="shared" si="58"/>
        <v>#N/A</v>
      </c>
      <c r="BG22" s="3" t="e">
        <f t="shared" si="59"/>
        <v>#N/A</v>
      </c>
      <c r="BH22" s="3" t="e">
        <f t="shared" si="60"/>
        <v>#N/A</v>
      </c>
      <c r="BI22" s="27" t="e">
        <f t="shared" si="61"/>
        <v>#N/A</v>
      </c>
      <c r="BJ22" s="7" t="e">
        <f t="shared" si="62"/>
        <v>#N/A</v>
      </c>
      <c r="BK22" s="10" t="e">
        <f t="shared" si="63"/>
        <v>#VALUE!</v>
      </c>
      <c r="BL22" s="11" t="e">
        <f t="shared" si="64"/>
        <v>#N/A</v>
      </c>
      <c r="BO22" s="10" t="s">
        <v>182</v>
      </c>
      <c r="BP22" s="10" t="s">
        <v>45</v>
      </c>
      <c r="BQ22" s="3" t="s">
        <v>40</v>
      </c>
      <c r="BR22" s="3">
        <v>63.302599999999998</v>
      </c>
      <c r="BS22" s="3">
        <v>-0.32565</v>
      </c>
      <c r="BT22" s="3">
        <f>0.24786*1000</f>
        <v>247.85999999999999</v>
      </c>
      <c r="BU22" s="3">
        <v>0</v>
      </c>
      <c r="BV22" s="3">
        <v>0</v>
      </c>
      <c r="BW22" s="11">
        <v>0</v>
      </c>
      <c r="BX22" s="3"/>
      <c r="BY22" s="7"/>
      <c r="BZ22" s="10"/>
      <c r="CA22" s="3"/>
      <c r="CB22" s="3"/>
      <c r="CC22" s="11"/>
      <c r="CD22" s="3"/>
      <c r="CE22" s="1"/>
      <c r="CF22" s="12" t="s">
        <v>121</v>
      </c>
      <c r="CG22" s="8">
        <v>1</v>
      </c>
      <c r="CH22" s="5"/>
      <c r="CI22" s="5"/>
      <c r="CJ22" s="5"/>
      <c r="CK22" s="5"/>
      <c r="CL22" s="8"/>
      <c r="CM22" s="8"/>
      <c r="CN22" s="1"/>
      <c r="CO22" s="7" t="s">
        <v>66</v>
      </c>
      <c r="CP22" s="87"/>
      <c r="CQ22" s="87"/>
      <c r="CR22" s="87"/>
      <c r="CS22" s="87"/>
      <c r="CT22" s="87"/>
      <c r="CU22" s="87"/>
    </row>
    <row r="23" spans="1:99" ht="15" x14ac:dyDescent="0.25">
      <c r="A23" s="32"/>
      <c r="B23" s="33"/>
      <c r="C23" s="33"/>
      <c r="D23" s="32"/>
      <c r="E23" s="33"/>
      <c r="F23" s="33"/>
      <c r="G23" s="33"/>
      <c r="H23" s="39"/>
      <c r="I23" s="45"/>
      <c r="J23" s="85"/>
      <c r="K23" s="33"/>
      <c r="L23" s="33"/>
      <c r="M23" s="33"/>
      <c r="N23" s="33"/>
      <c r="O23" s="33"/>
      <c r="P23" s="39"/>
      <c r="Q23" s="32"/>
      <c r="R23" s="33"/>
      <c r="S23" s="33"/>
      <c r="T23" s="33"/>
      <c r="U23" s="39"/>
      <c r="V23" s="55" t="str">
        <f t="shared" si="34"/>
        <v/>
      </c>
      <c r="W23" s="55" t="str">
        <f t="shared" si="35"/>
        <v/>
      </c>
      <c r="X23" s="56" t="str">
        <f t="shared" si="36"/>
        <v/>
      </c>
      <c r="Y23" s="7" t="str">
        <f t="shared" si="65"/>
        <v/>
      </c>
      <c r="Z23" s="34" t="str">
        <f t="shared" si="37"/>
        <v/>
      </c>
      <c r="AA23" s="87"/>
      <c r="AB23" s="70" t="str">
        <f t="shared" si="66"/>
        <v/>
      </c>
      <c r="AC23" s="69" t="str">
        <f t="shared" si="38"/>
        <v/>
      </c>
      <c r="AD23" s="34" t="str">
        <f t="shared" si="38"/>
        <v/>
      </c>
      <c r="AF23" s="82" t="e">
        <f t="shared" si="39"/>
        <v>#N/A</v>
      </c>
      <c r="AG23" s="7" t="e">
        <f t="shared" si="40"/>
        <v>#N/A</v>
      </c>
      <c r="AH23" s="7" t="e">
        <f t="shared" si="41"/>
        <v>#N/A</v>
      </c>
      <c r="AI23" s="7" t="e">
        <f t="shared" si="42"/>
        <v>#N/A</v>
      </c>
      <c r="AJ23" s="7" t="e">
        <f t="shared" si="43"/>
        <v>#N/A</v>
      </c>
      <c r="AK23" s="10" t="e">
        <f t="shared" si="44"/>
        <v>#N/A</v>
      </c>
      <c r="AL23" s="11" t="e">
        <f t="shared" si="45"/>
        <v>#N/A</v>
      </c>
      <c r="AM23" s="21">
        <f t="array" ref="AM23">INDEX(BO$5:BU$85,MATCH(1,(BO$5:BO$85=D23)*(BP$5:BP$85=H23)*(BQ$5:BQ$85=T23),0),4)</f>
        <v>0</v>
      </c>
      <c r="AN23" s="14">
        <f t="array" ref="AN23">INDEX(BO$5:BU$85,MATCH(1,(BO$5:BO$85=D23)*(BP$5:BP$85=H23)*(BQ$5:BQ$85=T23),0),5)</f>
        <v>0</v>
      </c>
      <c r="AO23" s="14">
        <f t="array" ref="AO23">INDEX(BO$5:BU$85,MATCH(1,(BO$5:BO$85=D23)*(BP$5:BP$85=H23)*(BQ$5:BQ$85=T23),0),6)</f>
        <v>0</v>
      </c>
      <c r="AP23" s="14">
        <f t="array" ref="AP23">INDEX(BO$5:BU$85,MATCH(1,(BO$5:BO$85=D23)*(BP$5:BP$85=H23)*(BQ$5:BQ$85=T23),0),7)</f>
        <v>0</v>
      </c>
      <c r="AQ23" s="14">
        <f t="array" ref="AQ23">INDEX(BO$5:BV$85,MATCH(1,(BO$5:BO$85=D23)*(BP$5:BP$85=H23)*(BQ$5:BQ$85=T23),0),8)</f>
        <v>0</v>
      </c>
      <c r="AR23" s="3"/>
      <c r="AS23" s="3" t="e">
        <f t="shared" si="46"/>
        <v>#VALUE!</v>
      </c>
      <c r="AT23" s="10" t="e">
        <f t="shared" si="47"/>
        <v>#VALUE!</v>
      </c>
      <c r="AU23" s="3" t="e">
        <f t="shared" si="48"/>
        <v>#N/A</v>
      </c>
      <c r="AV23" s="11" t="e">
        <f t="shared" si="49"/>
        <v>#VALUE!</v>
      </c>
      <c r="AW23" s="10" t="e">
        <f t="shared" si="50"/>
        <v>#N/A</v>
      </c>
      <c r="AX23" s="3" t="e">
        <f t="shared" si="51"/>
        <v>#N/A</v>
      </c>
      <c r="AY23" s="3" t="e">
        <f t="shared" si="52"/>
        <v>#N/A</v>
      </c>
      <c r="AZ23" s="3" t="e">
        <f t="shared" si="53"/>
        <v>#N/A</v>
      </c>
      <c r="BA23" s="11" t="e">
        <f t="shared" si="54"/>
        <v>#N/A</v>
      </c>
      <c r="BB23" s="10" t="e">
        <f t="shared" si="55"/>
        <v>#N/A</v>
      </c>
      <c r="BC23" s="3"/>
      <c r="BD23" s="10" t="e">
        <f t="shared" si="56"/>
        <v>#N/A</v>
      </c>
      <c r="BE23" s="3" t="e">
        <f t="shared" si="57"/>
        <v>#N/A</v>
      </c>
      <c r="BF23" s="3" t="e">
        <f t="shared" si="58"/>
        <v>#N/A</v>
      </c>
      <c r="BG23" s="3" t="e">
        <f t="shared" si="59"/>
        <v>#N/A</v>
      </c>
      <c r="BH23" s="3" t="e">
        <f t="shared" si="60"/>
        <v>#N/A</v>
      </c>
      <c r="BI23" s="27" t="e">
        <f t="shared" si="61"/>
        <v>#N/A</v>
      </c>
      <c r="BJ23" s="7" t="e">
        <f t="shared" si="62"/>
        <v>#N/A</v>
      </c>
      <c r="BK23" s="10" t="e">
        <f t="shared" si="63"/>
        <v>#VALUE!</v>
      </c>
      <c r="BL23" s="11" t="e">
        <f t="shared" si="64"/>
        <v>#N/A</v>
      </c>
      <c r="BO23" s="10" t="s">
        <v>182</v>
      </c>
      <c r="BP23" s="10" t="s">
        <v>40</v>
      </c>
      <c r="BQ23" s="3" t="s">
        <v>45</v>
      </c>
      <c r="BR23" s="3">
        <v>18.090119999999999</v>
      </c>
      <c r="BS23" s="3">
        <v>-0.41366999999999998</v>
      </c>
      <c r="BT23" s="3">
        <f>0.16324*1000</f>
        <v>163.24</v>
      </c>
      <c r="BU23" s="3">
        <v>0</v>
      </c>
      <c r="BV23" s="3">
        <v>0</v>
      </c>
      <c r="BW23" s="11">
        <v>0</v>
      </c>
      <c r="BX23" s="3"/>
      <c r="BY23" s="7"/>
      <c r="BZ23" s="10"/>
      <c r="CA23" s="3"/>
      <c r="CB23" s="3"/>
      <c r="CC23" s="11"/>
      <c r="CD23" s="3"/>
      <c r="CE23" s="1"/>
      <c r="CF23" s="6" t="s">
        <v>168</v>
      </c>
      <c r="CG23" s="23">
        <v>1</v>
      </c>
      <c r="CH23" s="23"/>
      <c r="CI23" s="4"/>
      <c r="CJ23" s="4"/>
      <c r="CK23" s="9"/>
      <c r="CL23" s="6"/>
      <c r="CM23" s="7"/>
      <c r="CN23" s="1"/>
      <c r="CO23" s="7" t="s">
        <v>67</v>
      </c>
      <c r="CP23" s="87"/>
      <c r="CQ23" s="87"/>
      <c r="CR23" s="87"/>
      <c r="CS23" s="87"/>
      <c r="CT23" s="87"/>
      <c r="CU23" s="87"/>
    </row>
    <row r="24" spans="1:99" ht="15" x14ac:dyDescent="0.25">
      <c r="A24" s="32"/>
      <c r="B24" s="33"/>
      <c r="C24" s="33"/>
      <c r="D24" s="32"/>
      <c r="E24" s="33"/>
      <c r="F24" s="33"/>
      <c r="G24" s="33"/>
      <c r="H24" s="39"/>
      <c r="I24" s="45"/>
      <c r="J24" s="85"/>
      <c r="K24" s="33"/>
      <c r="L24" s="33"/>
      <c r="M24" s="33"/>
      <c r="N24" s="33"/>
      <c r="O24" s="33"/>
      <c r="P24" s="39"/>
      <c r="Q24" s="32"/>
      <c r="R24" s="33"/>
      <c r="S24" s="33"/>
      <c r="T24" s="33"/>
      <c r="U24" s="39"/>
      <c r="V24" s="55" t="str">
        <f t="shared" si="34"/>
        <v/>
      </c>
      <c r="W24" s="55" t="str">
        <f t="shared" si="35"/>
        <v/>
      </c>
      <c r="X24" s="56" t="str">
        <f t="shared" si="36"/>
        <v/>
      </c>
      <c r="Y24" s="7" t="str">
        <f t="shared" si="65"/>
        <v/>
      </c>
      <c r="Z24" s="34" t="str">
        <f t="shared" si="37"/>
        <v/>
      </c>
      <c r="AA24" s="87"/>
      <c r="AB24" s="70" t="str">
        <f t="shared" si="66"/>
        <v/>
      </c>
      <c r="AC24" s="69" t="str">
        <f t="shared" si="38"/>
        <v/>
      </c>
      <c r="AD24" s="34" t="str">
        <f t="shared" si="38"/>
        <v/>
      </c>
      <c r="AF24" s="82" t="e">
        <f t="shared" si="39"/>
        <v>#N/A</v>
      </c>
      <c r="AG24" s="7" t="e">
        <f t="shared" si="40"/>
        <v>#N/A</v>
      </c>
      <c r="AH24" s="7" t="e">
        <f t="shared" si="41"/>
        <v>#N/A</v>
      </c>
      <c r="AI24" s="7" t="e">
        <f t="shared" si="42"/>
        <v>#N/A</v>
      </c>
      <c r="AJ24" s="7" t="e">
        <f t="shared" si="43"/>
        <v>#N/A</v>
      </c>
      <c r="AK24" s="10" t="e">
        <f t="shared" si="44"/>
        <v>#N/A</v>
      </c>
      <c r="AL24" s="11" t="e">
        <f t="shared" si="45"/>
        <v>#N/A</v>
      </c>
      <c r="AM24" s="21">
        <f t="array" ref="AM24">INDEX(BO$5:BU$85,MATCH(1,(BO$5:BO$85=D24)*(BP$5:BP$85=H24)*(BQ$5:BQ$85=T24),0),4)</f>
        <v>0</v>
      </c>
      <c r="AN24" s="14">
        <f t="array" ref="AN24">INDEX(BO$5:BU$85,MATCH(1,(BO$5:BO$85=D24)*(BP$5:BP$85=H24)*(BQ$5:BQ$85=T24),0),5)</f>
        <v>0</v>
      </c>
      <c r="AO24" s="14">
        <f t="array" ref="AO24">INDEX(BO$5:BU$85,MATCH(1,(BO$5:BO$85=D24)*(BP$5:BP$85=H24)*(BQ$5:BQ$85=T24),0),6)</f>
        <v>0</v>
      </c>
      <c r="AP24" s="14">
        <f t="array" ref="AP24">INDEX(BO$5:BU$85,MATCH(1,(BO$5:BO$85=D24)*(BP$5:BP$85=H24)*(BQ$5:BQ$85=T24),0),7)</f>
        <v>0</v>
      </c>
      <c r="AQ24" s="14">
        <f t="array" ref="AQ24">INDEX(BO$5:BV$85,MATCH(1,(BO$5:BO$85=D24)*(BP$5:BP$85=H24)*(BQ$5:BQ$85=T24),0),8)</f>
        <v>0</v>
      </c>
      <c r="AR24" s="3"/>
      <c r="AS24" s="3" t="e">
        <f t="shared" si="46"/>
        <v>#VALUE!</v>
      </c>
      <c r="AT24" s="10" t="e">
        <f t="shared" si="47"/>
        <v>#VALUE!</v>
      </c>
      <c r="AU24" s="3" t="e">
        <f t="shared" si="48"/>
        <v>#N/A</v>
      </c>
      <c r="AV24" s="11" t="e">
        <f t="shared" si="49"/>
        <v>#VALUE!</v>
      </c>
      <c r="AW24" s="10" t="e">
        <f t="shared" si="50"/>
        <v>#N/A</v>
      </c>
      <c r="AX24" s="3" t="e">
        <f t="shared" si="51"/>
        <v>#N/A</v>
      </c>
      <c r="AY24" s="3" t="e">
        <f t="shared" si="52"/>
        <v>#N/A</v>
      </c>
      <c r="AZ24" s="3" t="e">
        <f t="shared" si="53"/>
        <v>#N/A</v>
      </c>
      <c r="BA24" s="11" t="e">
        <f t="shared" si="54"/>
        <v>#N/A</v>
      </c>
      <c r="BB24" s="10" t="e">
        <f t="shared" si="55"/>
        <v>#N/A</v>
      </c>
      <c r="BC24" s="3"/>
      <c r="BD24" s="10" t="e">
        <f t="shared" si="56"/>
        <v>#N/A</v>
      </c>
      <c r="BE24" s="3" t="e">
        <f t="shared" si="57"/>
        <v>#N/A</v>
      </c>
      <c r="BF24" s="3" t="e">
        <f t="shared" si="58"/>
        <v>#N/A</v>
      </c>
      <c r="BG24" s="3" t="e">
        <f t="shared" si="59"/>
        <v>#N/A</v>
      </c>
      <c r="BH24" s="3" t="e">
        <f t="shared" si="60"/>
        <v>#N/A</v>
      </c>
      <c r="BI24" s="27" t="e">
        <f t="shared" si="61"/>
        <v>#N/A</v>
      </c>
      <c r="BJ24" s="7" t="e">
        <f t="shared" si="62"/>
        <v>#N/A</v>
      </c>
      <c r="BK24" s="10" t="e">
        <f t="shared" si="63"/>
        <v>#VALUE!</v>
      </c>
      <c r="BL24" s="11" t="e">
        <f t="shared" si="64"/>
        <v>#N/A</v>
      </c>
      <c r="BO24" s="10" t="s">
        <v>182</v>
      </c>
      <c r="BP24" s="10" t="s">
        <v>45</v>
      </c>
      <c r="BQ24" s="3" t="s">
        <v>45</v>
      </c>
      <c r="BR24" s="3">
        <v>63.302599999999998</v>
      </c>
      <c r="BS24" s="3">
        <v>-0.32565</v>
      </c>
      <c r="BT24" s="3">
        <f>0.24786*1000</f>
        <v>247.85999999999999</v>
      </c>
      <c r="BU24" s="3">
        <v>0</v>
      </c>
      <c r="BV24" s="3">
        <v>0</v>
      </c>
      <c r="BW24" s="11">
        <v>0</v>
      </c>
      <c r="BX24" s="3"/>
      <c r="BY24" s="7"/>
      <c r="BZ24" s="10"/>
      <c r="CA24" s="3"/>
      <c r="CB24" s="3"/>
      <c r="CC24" s="11"/>
      <c r="CD24" s="3"/>
      <c r="CE24" s="1"/>
      <c r="CF24" s="7" t="s">
        <v>169</v>
      </c>
      <c r="CG24" s="10">
        <v>1</v>
      </c>
      <c r="CH24" s="10"/>
      <c r="CI24" s="3"/>
      <c r="CJ24" s="3"/>
      <c r="CK24" s="11"/>
      <c r="CL24" s="7"/>
      <c r="CM24" s="7"/>
      <c r="CN24" s="1"/>
      <c r="CO24" s="7" t="s">
        <v>69</v>
      </c>
      <c r="CP24" s="87"/>
      <c r="CQ24" s="87"/>
      <c r="CR24" s="87"/>
      <c r="CS24" s="87"/>
      <c r="CT24" s="87"/>
      <c r="CU24" s="87"/>
    </row>
    <row r="25" spans="1:99" ht="15" x14ac:dyDescent="0.25">
      <c r="A25" s="32"/>
      <c r="B25" s="33"/>
      <c r="C25" s="33"/>
      <c r="D25" s="32"/>
      <c r="E25" s="33"/>
      <c r="F25" s="33"/>
      <c r="G25" s="33"/>
      <c r="H25" s="39"/>
      <c r="I25" s="45"/>
      <c r="J25" s="85"/>
      <c r="K25" s="33"/>
      <c r="L25" s="33"/>
      <c r="M25" s="33"/>
      <c r="N25" s="33"/>
      <c r="O25" s="33"/>
      <c r="P25" s="39"/>
      <c r="Q25" s="32"/>
      <c r="R25" s="33"/>
      <c r="S25" s="33"/>
      <c r="T25" s="33"/>
      <c r="U25" s="39"/>
      <c r="V25" s="55" t="str">
        <f t="shared" si="34"/>
        <v/>
      </c>
      <c r="W25" s="55" t="str">
        <f t="shared" si="35"/>
        <v/>
      </c>
      <c r="X25" s="56" t="str">
        <f t="shared" si="36"/>
        <v/>
      </c>
      <c r="Y25" s="7" t="str">
        <f t="shared" si="65"/>
        <v/>
      </c>
      <c r="Z25" s="34" t="str">
        <f t="shared" si="37"/>
        <v/>
      </c>
      <c r="AA25" s="87"/>
      <c r="AB25" s="70" t="str">
        <f t="shared" si="66"/>
        <v/>
      </c>
      <c r="AC25" s="69" t="str">
        <f t="shared" si="38"/>
        <v/>
      </c>
      <c r="AD25" s="34" t="str">
        <f t="shared" si="38"/>
        <v/>
      </c>
      <c r="AF25" s="82" t="e">
        <f t="shared" si="39"/>
        <v>#N/A</v>
      </c>
      <c r="AG25" s="7" t="e">
        <f t="shared" si="40"/>
        <v>#N/A</v>
      </c>
      <c r="AH25" s="7" t="e">
        <f t="shared" si="41"/>
        <v>#N/A</v>
      </c>
      <c r="AI25" s="7" t="e">
        <f t="shared" si="42"/>
        <v>#N/A</v>
      </c>
      <c r="AJ25" s="7" t="e">
        <f t="shared" si="43"/>
        <v>#N/A</v>
      </c>
      <c r="AK25" s="10" t="e">
        <f t="shared" si="44"/>
        <v>#N/A</v>
      </c>
      <c r="AL25" s="11" t="e">
        <f t="shared" si="45"/>
        <v>#N/A</v>
      </c>
      <c r="AM25" s="21">
        <f t="array" ref="AM25">INDEX(BO$5:BU$85,MATCH(1,(BO$5:BO$85=D25)*(BP$5:BP$85=H25)*(BQ$5:BQ$85=T25),0),4)</f>
        <v>0</v>
      </c>
      <c r="AN25" s="14">
        <f t="array" ref="AN25">INDEX(BO$5:BU$85,MATCH(1,(BO$5:BO$85=D25)*(BP$5:BP$85=H25)*(BQ$5:BQ$85=T25),0),5)</f>
        <v>0</v>
      </c>
      <c r="AO25" s="14">
        <f t="array" ref="AO25">INDEX(BO$5:BU$85,MATCH(1,(BO$5:BO$85=D25)*(BP$5:BP$85=H25)*(BQ$5:BQ$85=T25),0),6)</f>
        <v>0</v>
      </c>
      <c r="AP25" s="14">
        <f t="array" ref="AP25">INDEX(BO$5:BU$85,MATCH(1,(BO$5:BO$85=D25)*(BP$5:BP$85=H25)*(BQ$5:BQ$85=T25),0),7)</f>
        <v>0</v>
      </c>
      <c r="AQ25" s="14">
        <f t="array" ref="AQ25">INDEX(BO$5:BV$85,MATCH(1,(BO$5:BO$85=D25)*(BP$5:BP$85=H25)*(BQ$5:BQ$85=T25),0),8)</f>
        <v>0</v>
      </c>
      <c r="AR25" s="3"/>
      <c r="AS25" s="3" t="e">
        <f t="shared" si="46"/>
        <v>#VALUE!</v>
      </c>
      <c r="AT25" s="10" t="e">
        <f t="shared" si="47"/>
        <v>#VALUE!</v>
      </c>
      <c r="AU25" s="3" t="e">
        <f t="shared" si="48"/>
        <v>#N/A</v>
      </c>
      <c r="AV25" s="11" t="e">
        <f t="shared" si="49"/>
        <v>#VALUE!</v>
      </c>
      <c r="AW25" s="10" t="e">
        <f t="shared" si="50"/>
        <v>#N/A</v>
      </c>
      <c r="AX25" s="3" t="e">
        <f t="shared" si="51"/>
        <v>#N/A</v>
      </c>
      <c r="AY25" s="3" t="e">
        <f t="shared" si="52"/>
        <v>#N/A</v>
      </c>
      <c r="AZ25" s="3" t="e">
        <f t="shared" si="53"/>
        <v>#N/A</v>
      </c>
      <c r="BA25" s="11" t="e">
        <f t="shared" si="54"/>
        <v>#N/A</v>
      </c>
      <c r="BB25" s="10" t="e">
        <f t="shared" si="55"/>
        <v>#N/A</v>
      </c>
      <c r="BC25" s="3"/>
      <c r="BD25" s="10" t="e">
        <f t="shared" si="56"/>
        <v>#N/A</v>
      </c>
      <c r="BE25" s="3" t="e">
        <f t="shared" si="57"/>
        <v>#N/A</v>
      </c>
      <c r="BF25" s="3" t="e">
        <f t="shared" si="58"/>
        <v>#N/A</v>
      </c>
      <c r="BG25" s="3" t="e">
        <f t="shared" si="59"/>
        <v>#N/A</v>
      </c>
      <c r="BH25" s="3" t="e">
        <f t="shared" si="60"/>
        <v>#N/A</v>
      </c>
      <c r="BI25" s="27" t="e">
        <f t="shared" si="61"/>
        <v>#N/A</v>
      </c>
      <c r="BJ25" s="7" t="e">
        <f t="shared" si="62"/>
        <v>#N/A</v>
      </c>
      <c r="BK25" s="10" t="e">
        <f t="shared" si="63"/>
        <v>#VALUE!</v>
      </c>
      <c r="BL25" s="11" t="e">
        <f t="shared" si="64"/>
        <v>#N/A</v>
      </c>
      <c r="BO25" s="10" t="s">
        <v>182</v>
      </c>
      <c r="BP25" s="10" t="s">
        <v>40</v>
      </c>
      <c r="BQ25" s="3"/>
      <c r="BR25" s="3">
        <v>18.090119999999999</v>
      </c>
      <c r="BS25" s="3">
        <v>-0.41366999999999998</v>
      </c>
      <c r="BT25" s="3">
        <f>0.16324*1000</f>
        <v>163.24</v>
      </c>
      <c r="BU25" s="3">
        <v>0</v>
      </c>
      <c r="BV25" s="3">
        <v>0</v>
      </c>
      <c r="BW25" s="11">
        <v>0</v>
      </c>
      <c r="BX25" s="3"/>
      <c r="BY25" s="8"/>
      <c r="BZ25" s="12"/>
      <c r="CA25" s="5"/>
      <c r="CB25" s="5"/>
      <c r="CC25" s="13"/>
      <c r="CD25" s="3"/>
      <c r="CE25" s="1"/>
      <c r="CF25" s="7" t="s">
        <v>68</v>
      </c>
      <c r="CG25" s="10">
        <v>1</v>
      </c>
      <c r="CH25" s="10"/>
      <c r="CI25" s="3"/>
      <c r="CJ25" s="3"/>
      <c r="CK25" s="11"/>
      <c r="CL25" s="7"/>
      <c r="CM25" s="7"/>
      <c r="CN25" s="1"/>
      <c r="CO25" s="7" t="s">
        <v>71</v>
      </c>
      <c r="CP25" s="87"/>
      <c r="CQ25" s="87"/>
      <c r="CR25" s="87"/>
      <c r="CS25" s="87"/>
      <c r="CT25" s="87"/>
      <c r="CU25" s="87"/>
    </row>
    <row r="26" spans="1:99" ht="15" x14ac:dyDescent="0.25">
      <c r="A26" s="32"/>
      <c r="B26" s="33"/>
      <c r="C26" s="33"/>
      <c r="D26" s="32"/>
      <c r="E26" s="33"/>
      <c r="F26" s="33"/>
      <c r="G26" s="33"/>
      <c r="H26" s="39"/>
      <c r="I26" s="45"/>
      <c r="J26" s="85"/>
      <c r="K26" s="33"/>
      <c r="L26" s="33"/>
      <c r="M26" s="33"/>
      <c r="N26" s="33"/>
      <c r="O26" s="33"/>
      <c r="P26" s="39"/>
      <c r="Q26" s="32"/>
      <c r="R26" s="33"/>
      <c r="S26" s="33"/>
      <c r="T26" s="33"/>
      <c r="U26" s="39"/>
      <c r="V26" s="55" t="str">
        <f t="shared" si="34"/>
        <v/>
      </c>
      <c r="W26" s="55" t="str">
        <f t="shared" si="35"/>
        <v/>
      </c>
      <c r="X26" s="56" t="str">
        <f t="shared" si="36"/>
        <v/>
      </c>
      <c r="Y26" s="7" t="str">
        <f t="shared" si="65"/>
        <v/>
      </c>
      <c r="Z26" s="34" t="str">
        <f t="shared" si="37"/>
        <v/>
      </c>
      <c r="AA26" s="87"/>
      <c r="AB26" s="70" t="str">
        <f t="shared" si="66"/>
        <v/>
      </c>
      <c r="AC26" s="69" t="str">
        <f t="shared" si="38"/>
        <v/>
      </c>
      <c r="AD26" s="34" t="str">
        <f t="shared" si="38"/>
        <v/>
      </c>
      <c r="AF26" s="82" t="e">
        <f t="shared" si="39"/>
        <v>#N/A</v>
      </c>
      <c r="AG26" s="7" t="e">
        <f t="shared" si="40"/>
        <v>#N/A</v>
      </c>
      <c r="AH26" s="7" t="e">
        <f t="shared" si="41"/>
        <v>#N/A</v>
      </c>
      <c r="AI26" s="7" t="e">
        <f t="shared" si="42"/>
        <v>#N/A</v>
      </c>
      <c r="AJ26" s="7" t="e">
        <f t="shared" si="43"/>
        <v>#N/A</v>
      </c>
      <c r="AK26" s="10" t="e">
        <f t="shared" si="44"/>
        <v>#N/A</v>
      </c>
      <c r="AL26" s="11" t="e">
        <f t="shared" si="45"/>
        <v>#N/A</v>
      </c>
      <c r="AM26" s="21">
        <f t="array" ref="AM26">INDEX(BO$5:BU$85,MATCH(1,(BO$5:BO$85=D26)*(BP$5:BP$85=H26)*(BQ$5:BQ$85=T26),0),4)</f>
        <v>0</v>
      </c>
      <c r="AN26" s="14">
        <f t="array" ref="AN26">INDEX(BO$5:BU$85,MATCH(1,(BO$5:BO$85=D26)*(BP$5:BP$85=H26)*(BQ$5:BQ$85=T26),0),5)</f>
        <v>0</v>
      </c>
      <c r="AO26" s="14">
        <f t="array" ref="AO26">INDEX(BO$5:BU$85,MATCH(1,(BO$5:BO$85=D26)*(BP$5:BP$85=H26)*(BQ$5:BQ$85=T26),0),6)</f>
        <v>0</v>
      </c>
      <c r="AP26" s="14">
        <f t="array" ref="AP26">INDEX(BO$5:BU$85,MATCH(1,(BO$5:BO$85=D26)*(BP$5:BP$85=H26)*(BQ$5:BQ$85=T26),0),7)</f>
        <v>0</v>
      </c>
      <c r="AQ26" s="14">
        <f t="array" ref="AQ26">INDEX(BO$5:BV$85,MATCH(1,(BO$5:BO$85=D26)*(BP$5:BP$85=H26)*(BQ$5:BQ$85=T26),0),8)</f>
        <v>0</v>
      </c>
      <c r="AR26" s="3"/>
      <c r="AS26" s="3" t="e">
        <f t="shared" si="46"/>
        <v>#VALUE!</v>
      </c>
      <c r="AT26" s="10" t="e">
        <f t="shared" si="47"/>
        <v>#VALUE!</v>
      </c>
      <c r="AU26" s="3" t="e">
        <f t="shared" si="48"/>
        <v>#N/A</v>
      </c>
      <c r="AV26" s="11" t="e">
        <f t="shared" si="49"/>
        <v>#VALUE!</v>
      </c>
      <c r="AW26" s="10" t="e">
        <f t="shared" si="50"/>
        <v>#N/A</v>
      </c>
      <c r="AX26" s="3" t="e">
        <f t="shared" si="51"/>
        <v>#N/A</v>
      </c>
      <c r="AY26" s="3" t="e">
        <f t="shared" si="52"/>
        <v>#N/A</v>
      </c>
      <c r="AZ26" s="3" t="e">
        <f t="shared" si="53"/>
        <v>#N/A</v>
      </c>
      <c r="BA26" s="11" t="e">
        <f t="shared" si="54"/>
        <v>#N/A</v>
      </c>
      <c r="BB26" s="10" t="e">
        <f t="shared" si="55"/>
        <v>#N/A</v>
      </c>
      <c r="BC26" s="3"/>
      <c r="BD26" s="10" t="e">
        <f t="shared" si="56"/>
        <v>#N/A</v>
      </c>
      <c r="BE26" s="3" t="e">
        <f t="shared" si="57"/>
        <v>#N/A</v>
      </c>
      <c r="BF26" s="3" t="e">
        <f t="shared" si="58"/>
        <v>#N/A</v>
      </c>
      <c r="BG26" s="3" t="e">
        <f t="shared" si="59"/>
        <v>#N/A</v>
      </c>
      <c r="BH26" s="3" t="e">
        <f t="shared" si="60"/>
        <v>#N/A</v>
      </c>
      <c r="BI26" s="27" t="e">
        <f t="shared" si="61"/>
        <v>#N/A</v>
      </c>
      <c r="BJ26" s="7" t="e">
        <f t="shared" si="62"/>
        <v>#N/A</v>
      </c>
      <c r="BK26" s="10" t="e">
        <f t="shared" si="63"/>
        <v>#VALUE!</v>
      </c>
      <c r="BL26" s="11" t="e">
        <f t="shared" si="64"/>
        <v>#N/A</v>
      </c>
      <c r="BO26" s="10" t="s">
        <v>182</v>
      </c>
      <c r="BP26" s="12" t="s">
        <v>45</v>
      </c>
      <c r="BQ26" s="5"/>
      <c r="BR26" s="5">
        <v>63.302599999999998</v>
      </c>
      <c r="BS26" s="5">
        <v>-0.32565</v>
      </c>
      <c r="BT26" s="5">
        <f>0.24786*1000</f>
        <v>247.85999999999999</v>
      </c>
      <c r="BU26" s="5">
        <v>0</v>
      </c>
      <c r="BV26" s="5">
        <v>0</v>
      </c>
      <c r="BW26" s="13">
        <v>0</v>
      </c>
      <c r="BX26" s="3"/>
      <c r="BY26" s="1"/>
      <c r="BZ26" s="1"/>
      <c r="CA26" s="1"/>
      <c r="CB26" s="1"/>
      <c r="CC26" s="1"/>
      <c r="CD26" s="1"/>
      <c r="CE26" s="1"/>
      <c r="CF26" s="7" t="s">
        <v>70</v>
      </c>
      <c r="CG26" s="10">
        <v>1</v>
      </c>
      <c r="CH26" s="10"/>
      <c r="CI26" s="3"/>
      <c r="CJ26" s="3"/>
      <c r="CK26" s="11"/>
      <c r="CL26" s="7"/>
      <c r="CM26" s="7"/>
      <c r="CN26" s="1"/>
      <c r="CO26" s="7" t="s">
        <v>72</v>
      </c>
      <c r="CP26" s="87"/>
      <c r="CQ26" s="87"/>
      <c r="CR26" s="87"/>
      <c r="CS26" s="87"/>
      <c r="CT26" s="87"/>
      <c r="CU26" s="87"/>
    </row>
    <row r="27" spans="1:99" ht="15" x14ac:dyDescent="0.25">
      <c r="A27" s="32"/>
      <c r="B27" s="33"/>
      <c r="C27" s="33"/>
      <c r="D27" s="32"/>
      <c r="E27" s="33"/>
      <c r="F27" s="33"/>
      <c r="G27" s="33"/>
      <c r="H27" s="39"/>
      <c r="I27" s="45"/>
      <c r="J27" s="85"/>
      <c r="K27" s="33"/>
      <c r="L27" s="33"/>
      <c r="M27" s="33"/>
      <c r="N27" s="33"/>
      <c r="O27" s="33"/>
      <c r="P27" s="39"/>
      <c r="Q27" s="32"/>
      <c r="R27" s="33"/>
      <c r="S27" s="33"/>
      <c r="T27" s="33"/>
      <c r="U27" s="39"/>
      <c r="V27" s="55" t="str">
        <f t="shared" si="34"/>
        <v/>
      </c>
      <c r="W27" s="55" t="str">
        <f t="shared" si="35"/>
        <v/>
      </c>
      <c r="X27" s="56" t="str">
        <f t="shared" si="36"/>
        <v/>
      </c>
      <c r="Y27" s="7" t="str">
        <f t="shared" si="65"/>
        <v/>
      </c>
      <c r="Z27" s="34" t="str">
        <f t="shared" si="37"/>
        <v/>
      </c>
      <c r="AA27" s="87"/>
      <c r="AB27" s="70" t="str">
        <f t="shared" si="66"/>
        <v/>
      </c>
      <c r="AC27" s="69" t="str">
        <f t="shared" si="38"/>
        <v/>
      </c>
      <c r="AD27" s="34" t="str">
        <f t="shared" si="38"/>
        <v/>
      </c>
      <c r="AF27" s="82" t="e">
        <f t="shared" si="39"/>
        <v>#N/A</v>
      </c>
      <c r="AG27" s="7" t="e">
        <f t="shared" si="40"/>
        <v>#N/A</v>
      </c>
      <c r="AH27" s="7" t="e">
        <f t="shared" si="41"/>
        <v>#N/A</v>
      </c>
      <c r="AI27" s="7" t="e">
        <f t="shared" si="42"/>
        <v>#N/A</v>
      </c>
      <c r="AJ27" s="7" t="e">
        <f t="shared" si="43"/>
        <v>#N/A</v>
      </c>
      <c r="AK27" s="10" t="e">
        <f t="shared" si="44"/>
        <v>#N/A</v>
      </c>
      <c r="AL27" s="11" t="e">
        <f t="shared" si="45"/>
        <v>#N/A</v>
      </c>
      <c r="AM27" s="21">
        <f t="array" ref="AM27">INDEX(BO$5:BU$85,MATCH(1,(BO$5:BO$85=D27)*(BP$5:BP$85=H27)*(BQ$5:BQ$85=T27),0),4)</f>
        <v>0</v>
      </c>
      <c r="AN27" s="14">
        <f t="array" ref="AN27">INDEX(BO$5:BU$85,MATCH(1,(BO$5:BO$85=D27)*(BP$5:BP$85=H27)*(BQ$5:BQ$85=T27),0),5)</f>
        <v>0</v>
      </c>
      <c r="AO27" s="14">
        <f t="array" ref="AO27">INDEX(BO$5:BU$85,MATCH(1,(BO$5:BO$85=D27)*(BP$5:BP$85=H27)*(BQ$5:BQ$85=T27),0),6)</f>
        <v>0</v>
      </c>
      <c r="AP27" s="14">
        <f t="array" ref="AP27">INDEX(BO$5:BU$85,MATCH(1,(BO$5:BO$85=D27)*(BP$5:BP$85=H27)*(BQ$5:BQ$85=T27),0),7)</f>
        <v>0</v>
      </c>
      <c r="AQ27" s="14">
        <f t="array" ref="AQ27">INDEX(BO$5:BV$85,MATCH(1,(BO$5:BO$85=D27)*(BP$5:BP$85=H27)*(BQ$5:BQ$85=T27),0),8)</f>
        <v>0</v>
      </c>
      <c r="AR27" s="3"/>
      <c r="AS27" s="3" t="e">
        <f t="shared" si="46"/>
        <v>#VALUE!</v>
      </c>
      <c r="AT27" s="10" t="e">
        <f t="shared" si="47"/>
        <v>#VALUE!</v>
      </c>
      <c r="AU27" s="3" t="e">
        <f t="shared" si="48"/>
        <v>#N/A</v>
      </c>
      <c r="AV27" s="11" t="e">
        <f t="shared" si="49"/>
        <v>#VALUE!</v>
      </c>
      <c r="AW27" s="10" t="e">
        <f t="shared" si="50"/>
        <v>#N/A</v>
      </c>
      <c r="AX27" s="3" t="e">
        <f t="shared" si="51"/>
        <v>#N/A</v>
      </c>
      <c r="AY27" s="3" t="e">
        <f t="shared" si="52"/>
        <v>#N/A</v>
      </c>
      <c r="AZ27" s="3" t="e">
        <f t="shared" si="53"/>
        <v>#N/A</v>
      </c>
      <c r="BA27" s="11" t="e">
        <f t="shared" si="54"/>
        <v>#N/A</v>
      </c>
      <c r="BB27" s="10" t="e">
        <f t="shared" si="55"/>
        <v>#N/A</v>
      </c>
      <c r="BC27" s="3"/>
      <c r="BD27" s="10" t="e">
        <f t="shared" si="56"/>
        <v>#N/A</v>
      </c>
      <c r="BE27" s="3" t="e">
        <f t="shared" si="57"/>
        <v>#N/A</v>
      </c>
      <c r="BF27" s="3" t="e">
        <f t="shared" si="58"/>
        <v>#N/A</v>
      </c>
      <c r="BG27" s="3" t="e">
        <f t="shared" si="59"/>
        <v>#N/A</v>
      </c>
      <c r="BH27" s="3" t="e">
        <f t="shared" si="60"/>
        <v>#N/A</v>
      </c>
      <c r="BI27" s="27" t="e">
        <f t="shared" si="61"/>
        <v>#N/A</v>
      </c>
      <c r="BJ27" s="7" t="e">
        <f t="shared" si="62"/>
        <v>#N/A</v>
      </c>
      <c r="BK27" s="10" t="e">
        <f t="shared" si="63"/>
        <v>#VALUE!</v>
      </c>
      <c r="BL27" s="11" t="e">
        <f t="shared" si="64"/>
        <v>#N/A</v>
      </c>
      <c r="BO27" s="6" t="s">
        <v>62</v>
      </c>
      <c r="BP27" s="10" t="s">
        <v>40</v>
      </c>
      <c r="BQ27" s="3" t="s">
        <v>40</v>
      </c>
      <c r="BR27" s="3">
        <v>1016.086</v>
      </c>
      <c r="BS27" s="3">
        <v>-8.6959999999999997</v>
      </c>
      <c r="BT27" s="3">
        <f>-0.382*1000</f>
        <v>-382</v>
      </c>
      <c r="BU27" s="3">
        <v>0</v>
      </c>
      <c r="BV27" s="3">
        <v>0</v>
      </c>
      <c r="BW27" s="11">
        <v>0</v>
      </c>
      <c r="BX27" s="3"/>
      <c r="BY27" s="1"/>
      <c r="BZ27" s="1"/>
      <c r="CA27" s="1"/>
      <c r="CB27" s="1"/>
      <c r="CC27" s="1"/>
      <c r="CD27" s="1"/>
      <c r="CE27" s="1"/>
      <c r="CF27" s="7" t="s">
        <v>73</v>
      </c>
      <c r="CG27" s="10">
        <v>1</v>
      </c>
      <c r="CH27" s="10"/>
      <c r="CI27" s="3"/>
      <c r="CJ27" s="3"/>
      <c r="CK27" s="11"/>
      <c r="CL27" s="7"/>
      <c r="CM27" s="7"/>
      <c r="CN27" s="1"/>
      <c r="CO27" s="7" t="s">
        <v>74</v>
      </c>
      <c r="CP27" s="87"/>
      <c r="CQ27" s="87"/>
      <c r="CR27" s="87"/>
      <c r="CS27" s="87"/>
      <c r="CT27" s="87"/>
      <c r="CU27" s="87"/>
    </row>
    <row r="28" spans="1:99" ht="15" x14ac:dyDescent="0.25">
      <c r="A28" s="35"/>
      <c r="B28" s="36"/>
      <c r="C28" s="36"/>
      <c r="D28" s="35"/>
      <c r="E28" s="36"/>
      <c r="F28" s="36"/>
      <c r="G28" s="36"/>
      <c r="H28" s="40"/>
      <c r="I28" s="46"/>
      <c r="J28" s="86"/>
      <c r="K28" s="36"/>
      <c r="L28" s="36"/>
      <c r="M28" s="36"/>
      <c r="N28" s="36"/>
      <c r="O28" s="36"/>
      <c r="P28" s="40"/>
      <c r="Q28" s="35"/>
      <c r="R28" s="36"/>
      <c r="S28" s="36"/>
      <c r="T28" s="36"/>
      <c r="U28" s="40"/>
      <c r="V28" s="57" t="str">
        <f t="shared" si="34"/>
        <v/>
      </c>
      <c r="W28" s="57" t="str">
        <f t="shared" si="35"/>
        <v/>
      </c>
      <c r="X28" s="58" t="str">
        <f t="shared" si="36"/>
        <v/>
      </c>
      <c r="Y28" s="8" t="str">
        <f t="shared" si="65"/>
        <v/>
      </c>
      <c r="Z28" s="37" t="str">
        <f t="shared" si="37"/>
        <v/>
      </c>
      <c r="AA28" s="87"/>
      <c r="AB28" s="70" t="str">
        <f t="shared" si="66"/>
        <v/>
      </c>
      <c r="AC28" s="69" t="str">
        <f t="shared" si="38"/>
        <v/>
      </c>
      <c r="AD28" s="34" t="str">
        <f t="shared" si="38"/>
        <v/>
      </c>
      <c r="AF28" s="83" t="e">
        <f t="shared" si="39"/>
        <v>#N/A</v>
      </c>
      <c r="AG28" s="8" t="e">
        <f t="shared" si="40"/>
        <v>#N/A</v>
      </c>
      <c r="AH28" s="8" t="e">
        <f t="shared" si="41"/>
        <v>#N/A</v>
      </c>
      <c r="AI28" s="8" t="e">
        <f t="shared" si="42"/>
        <v>#N/A</v>
      </c>
      <c r="AJ28" s="8" t="e">
        <f t="shared" si="43"/>
        <v>#N/A</v>
      </c>
      <c r="AK28" s="12" t="e">
        <f t="shared" si="44"/>
        <v>#N/A</v>
      </c>
      <c r="AL28" s="13" t="e">
        <f t="shared" si="45"/>
        <v>#N/A</v>
      </c>
      <c r="AM28" s="22">
        <f t="array" ref="AM28">INDEX(BO$5:BU$85,MATCH(1,(BO$5:BO$85=D28)*(BP$5:BP$85=H28)*(BQ$5:BQ$85=T28),0),4)</f>
        <v>0</v>
      </c>
      <c r="AN28" s="19">
        <f t="array" ref="AN28">INDEX(BO$5:BU$85,MATCH(1,(BO$5:BO$85=D28)*(BP$5:BP$85=H28)*(BQ$5:BQ$85=T28),0),5)</f>
        <v>0</v>
      </c>
      <c r="AO28" s="19">
        <f t="array" ref="AO28">INDEX(BO$5:BU$85,MATCH(1,(BO$5:BO$85=D28)*(BP$5:BP$85=H28)*(BQ$5:BQ$85=T28),0),6)</f>
        <v>0</v>
      </c>
      <c r="AP28" s="19">
        <f t="array" ref="AP28">INDEX(BO$5:BU$85,MATCH(1,(BO$5:BO$85=D28)*(BP$5:BP$85=H28)*(BQ$5:BQ$85=T28),0),7)</f>
        <v>0</v>
      </c>
      <c r="AQ28" s="19">
        <f t="array" ref="AQ28">INDEX(BO$5:BV$85,MATCH(1,(BO$5:BO$85=D28)*(BP$5:BP$85=H28)*(BQ$5:BQ$85=T28),0),8)</f>
        <v>0</v>
      </c>
      <c r="AR28" s="5"/>
      <c r="AS28" s="5" t="e">
        <f t="shared" si="46"/>
        <v>#VALUE!</v>
      </c>
      <c r="AT28" s="12" t="e">
        <f t="shared" si="47"/>
        <v>#VALUE!</v>
      </c>
      <c r="AU28" s="5" t="e">
        <f t="shared" si="48"/>
        <v>#N/A</v>
      </c>
      <c r="AV28" s="13" t="e">
        <f t="shared" si="49"/>
        <v>#VALUE!</v>
      </c>
      <c r="AW28" s="12" t="e">
        <f t="shared" si="50"/>
        <v>#N/A</v>
      </c>
      <c r="AX28" s="5" t="e">
        <f t="shared" si="51"/>
        <v>#N/A</v>
      </c>
      <c r="AY28" s="5" t="e">
        <f t="shared" si="52"/>
        <v>#N/A</v>
      </c>
      <c r="AZ28" s="5" t="e">
        <f t="shared" si="53"/>
        <v>#N/A</v>
      </c>
      <c r="BA28" s="13" t="e">
        <f t="shared" si="54"/>
        <v>#N/A</v>
      </c>
      <c r="BB28" s="12" t="e">
        <f t="shared" si="55"/>
        <v>#N/A</v>
      </c>
      <c r="BC28" s="5"/>
      <c r="BD28" s="12" t="e">
        <f t="shared" si="56"/>
        <v>#N/A</v>
      </c>
      <c r="BE28" s="5" t="e">
        <f t="shared" si="57"/>
        <v>#N/A</v>
      </c>
      <c r="BF28" s="5" t="e">
        <f t="shared" si="58"/>
        <v>#N/A</v>
      </c>
      <c r="BG28" s="5" t="e">
        <f t="shared" si="59"/>
        <v>#N/A</v>
      </c>
      <c r="BH28" s="5" t="e">
        <f t="shared" si="60"/>
        <v>#N/A</v>
      </c>
      <c r="BI28" s="28" t="e">
        <f t="shared" si="61"/>
        <v>#N/A</v>
      </c>
      <c r="BJ28" s="8" t="e">
        <f t="shared" si="62"/>
        <v>#N/A</v>
      </c>
      <c r="BK28" s="12" t="e">
        <f t="shared" si="63"/>
        <v>#VALUE!</v>
      </c>
      <c r="BL28" s="13" t="e">
        <f t="shared" si="64"/>
        <v>#N/A</v>
      </c>
      <c r="BO28" s="7" t="s">
        <v>62</v>
      </c>
      <c r="BP28" s="10" t="s">
        <v>45</v>
      </c>
      <c r="BQ28" s="3" t="s">
        <v>40</v>
      </c>
      <c r="BR28" s="3">
        <v>1146.635</v>
      </c>
      <c r="BS28" s="3">
        <v>-7.8869999999999996</v>
      </c>
      <c r="BT28" s="3">
        <f>-0.229*1000</f>
        <v>-229</v>
      </c>
      <c r="BU28" s="3">
        <v>0</v>
      </c>
      <c r="BV28" s="3">
        <v>0</v>
      </c>
      <c r="BW28" s="11">
        <v>0</v>
      </c>
      <c r="BX28" s="3"/>
      <c r="BY28" s="1" t="s">
        <v>15</v>
      </c>
      <c r="BZ28" s="67" t="s">
        <v>48</v>
      </c>
      <c r="CA28" s="59" t="s">
        <v>86</v>
      </c>
      <c r="CB28" s="63" t="s">
        <v>187</v>
      </c>
      <c r="CE28" s="1"/>
      <c r="CF28" s="7" t="s">
        <v>75</v>
      </c>
      <c r="CG28" s="10">
        <v>1</v>
      </c>
      <c r="CH28" s="10"/>
      <c r="CI28" s="3"/>
      <c r="CJ28" s="3"/>
      <c r="CK28" s="11"/>
      <c r="CL28" s="7"/>
      <c r="CM28" s="7"/>
      <c r="CN28" s="1"/>
      <c r="CO28" s="7" t="s">
        <v>76</v>
      </c>
      <c r="CP28" s="87"/>
      <c r="CQ28" s="87"/>
      <c r="CR28" s="87"/>
      <c r="CS28" s="87"/>
      <c r="CT28" s="87"/>
      <c r="CU28" s="87"/>
    </row>
    <row r="29" spans="1:99" ht="15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  <c r="R29" s="88"/>
      <c r="S29" s="88"/>
      <c r="T29" s="88"/>
      <c r="U29" s="88"/>
      <c r="V29" s="88"/>
      <c r="W29" s="88"/>
      <c r="X29" s="88"/>
      <c r="Y29" s="88"/>
      <c r="Z29" s="88"/>
      <c r="AA29" s="87"/>
      <c r="AB29" s="70"/>
      <c r="AC29" s="69"/>
      <c r="AD29" s="34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3"/>
      <c r="BE29" s="1"/>
      <c r="BF29" s="1"/>
      <c r="BG29" s="1"/>
      <c r="BH29" s="1"/>
      <c r="BI29" s="1"/>
      <c r="BJ29" s="1"/>
      <c r="BK29" s="1"/>
      <c r="BL29" s="1"/>
      <c r="BO29" s="7" t="s">
        <v>62</v>
      </c>
      <c r="BP29" s="10" t="s">
        <v>40</v>
      </c>
      <c r="BQ29" s="3" t="s">
        <v>45</v>
      </c>
      <c r="BR29" s="3">
        <v>1044.799</v>
      </c>
      <c r="BS29" s="3">
        <v>-8.15</v>
      </c>
      <c r="BT29" s="3">
        <f>-0.49*1000</f>
        <v>-490</v>
      </c>
      <c r="BU29" s="3">
        <v>5.8479999999999999</v>
      </c>
      <c r="BV29" s="3">
        <v>-1.2E-2</v>
      </c>
      <c r="BW29" s="11">
        <v>0</v>
      </c>
      <c r="BX29" s="3"/>
      <c r="BY29" s="6" t="s">
        <v>88</v>
      </c>
      <c r="BZ29" s="4">
        <v>1.63</v>
      </c>
      <c r="CA29" s="9">
        <v>-6.8000000000000005E-2</v>
      </c>
      <c r="CB29" s="6">
        <v>0.75</v>
      </c>
      <c r="CE29" s="1"/>
      <c r="CF29" s="7" t="s">
        <v>164</v>
      </c>
      <c r="CG29" s="10">
        <v>1</v>
      </c>
      <c r="CH29" s="10"/>
      <c r="CI29" s="3"/>
      <c r="CJ29" s="3"/>
      <c r="CK29" s="11"/>
      <c r="CL29" s="7"/>
      <c r="CM29" s="7"/>
      <c r="CN29" s="1"/>
      <c r="CO29" s="7" t="s">
        <v>77</v>
      </c>
      <c r="CP29" s="87"/>
      <c r="CQ29" s="87"/>
      <c r="CR29" s="87"/>
      <c r="CS29" s="87"/>
      <c r="CT29" s="87"/>
      <c r="CU29" s="87"/>
    </row>
    <row r="30" spans="1:99" ht="15" x14ac:dyDescent="0.25">
      <c r="A30" s="120" t="s">
        <v>142</v>
      </c>
      <c r="B30" s="120"/>
      <c r="C30" s="120"/>
      <c r="D30" s="78" t="s">
        <v>0</v>
      </c>
      <c r="E30" s="78"/>
      <c r="F30" s="78"/>
      <c r="G30" s="78"/>
      <c r="H30" s="78"/>
      <c r="I30" s="78"/>
      <c r="J30" s="78"/>
      <c r="K30" s="79" t="s">
        <v>1</v>
      </c>
      <c r="L30" s="79"/>
      <c r="M30" s="79"/>
      <c r="N30" s="79"/>
      <c r="O30" s="79"/>
      <c r="P30" s="79"/>
      <c r="Q30" s="80" t="s">
        <v>2</v>
      </c>
      <c r="R30" s="80"/>
      <c r="S30" s="80"/>
      <c r="T30" s="80"/>
      <c r="U30" s="80"/>
      <c r="V30" s="52" t="s">
        <v>3</v>
      </c>
      <c r="W30" s="52"/>
      <c r="X30" s="52"/>
      <c r="Y30" s="52"/>
      <c r="Z30" s="52"/>
      <c r="AA30" s="87"/>
      <c r="AB30" s="71"/>
      <c r="AC30" s="72"/>
      <c r="AD30" s="73"/>
      <c r="AF30" s="2" t="s">
        <v>4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O30" s="7" t="s">
        <v>62</v>
      </c>
      <c r="BP30" s="10" t="s">
        <v>45</v>
      </c>
      <c r="BQ30" s="3" t="s">
        <v>45</v>
      </c>
      <c r="BR30" s="3">
        <v>1279.549</v>
      </c>
      <c r="BS30" s="3">
        <v>-8.8040000000000003</v>
      </c>
      <c r="BT30" s="3">
        <f>-0.448*1000</f>
        <v>-448</v>
      </c>
      <c r="BU30" s="3">
        <v>5.5570000000000004</v>
      </c>
      <c r="BV30" s="3">
        <v>-1.2E-2</v>
      </c>
      <c r="BW30" s="11">
        <v>0</v>
      </c>
      <c r="BX30" s="3"/>
      <c r="BY30" s="7" t="s">
        <v>42</v>
      </c>
      <c r="BZ30" s="3">
        <v>1.63</v>
      </c>
      <c r="CA30" s="11">
        <v>-6.8000000000000005E-2</v>
      </c>
      <c r="CB30" s="7">
        <v>0.96</v>
      </c>
      <c r="CE30" s="1"/>
      <c r="CF30" s="8" t="s">
        <v>165</v>
      </c>
      <c r="CG30" s="12">
        <v>1</v>
      </c>
      <c r="CH30" s="12"/>
      <c r="CI30" s="5"/>
      <c r="CJ30" s="5"/>
      <c r="CK30" s="13"/>
      <c r="CL30" s="8"/>
      <c r="CM30" s="7"/>
      <c r="CN30" s="1"/>
      <c r="CO30" s="7" t="s">
        <v>78</v>
      </c>
      <c r="CP30" s="87"/>
      <c r="CQ30" s="87"/>
      <c r="CR30" s="87"/>
      <c r="CS30" s="87"/>
      <c r="CT30" s="87"/>
      <c r="CU30" s="87"/>
    </row>
    <row r="31" spans="1:99" ht="17.25" x14ac:dyDescent="0.25">
      <c r="A31" s="50" t="s">
        <v>5</v>
      </c>
      <c r="B31" s="50" t="s">
        <v>6</v>
      </c>
      <c r="C31" s="50" t="s">
        <v>7</v>
      </c>
      <c r="D31" s="50" t="s">
        <v>8</v>
      </c>
      <c r="E31" s="50" t="s">
        <v>9</v>
      </c>
      <c r="F31" s="50" t="s">
        <v>10</v>
      </c>
      <c r="G31" s="50" t="s">
        <v>128</v>
      </c>
      <c r="H31" s="50" t="s">
        <v>147</v>
      </c>
      <c r="I31" s="50" t="s">
        <v>13</v>
      </c>
      <c r="J31" s="50"/>
      <c r="K31" s="50" t="s">
        <v>15</v>
      </c>
      <c r="L31" s="118" t="s">
        <v>181</v>
      </c>
      <c r="M31" s="119"/>
      <c r="N31" s="50" t="s">
        <v>16</v>
      </c>
      <c r="O31" s="50" t="s">
        <v>17</v>
      </c>
      <c r="P31" s="50"/>
      <c r="Q31" s="50" t="s">
        <v>19</v>
      </c>
      <c r="R31" s="50" t="s">
        <v>20</v>
      </c>
      <c r="S31" s="50" t="s">
        <v>21</v>
      </c>
      <c r="T31" s="50" t="s">
        <v>22</v>
      </c>
      <c r="U31" s="50" t="s">
        <v>23</v>
      </c>
      <c r="V31" s="50" t="s">
        <v>24</v>
      </c>
      <c r="W31" s="50" t="s">
        <v>25</v>
      </c>
      <c r="X31" s="50" t="s">
        <v>188</v>
      </c>
      <c r="Y31" s="24" t="s">
        <v>190</v>
      </c>
      <c r="Z31" s="24" t="s">
        <v>126</v>
      </c>
      <c r="AA31" s="87"/>
      <c r="AB31" s="74"/>
      <c r="AC31" s="68"/>
      <c r="AD31" s="75"/>
      <c r="AF31" s="50" t="s">
        <v>187</v>
      </c>
      <c r="AG31" s="50" t="s">
        <v>86</v>
      </c>
      <c r="AH31" s="50" t="s">
        <v>18</v>
      </c>
      <c r="AI31" s="50" t="s">
        <v>11</v>
      </c>
      <c r="AJ31" s="20" t="s">
        <v>26</v>
      </c>
      <c r="AK31" s="15" t="s">
        <v>27</v>
      </c>
      <c r="AL31" s="18" t="s">
        <v>28</v>
      </c>
      <c r="AM31" s="15" t="s">
        <v>29</v>
      </c>
      <c r="AN31" s="16" t="s">
        <v>30</v>
      </c>
      <c r="AO31" s="16" t="s">
        <v>31</v>
      </c>
      <c r="AP31" s="16" t="s">
        <v>33</v>
      </c>
      <c r="AQ31" s="16" t="s">
        <v>125</v>
      </c>
      <c r="AR31" s="17" t="s">
        <v>32</v>
      </c>
      <c r="AS31" s="16" t="s">
        <v>161</v>
      </c>
      <c r="AT31" s="26" t="s">
        <v>177</v>
      </c>
      <c r="AU31" s="17"/>
      <c r="AV31" s="18" t="s">
        <v>34</v>
      </c>
      <c r="AW31" s="15" t="s">
        <v>35</v>
      </c>
      <c r="AX31" s="16" t="s">
        <v>36</v>
      </c>
      <c r="AY31" s="16" t="s">
        <v>37</v>
      </c>
      <c r="AZ31" s="17" t="s">
        <v>123</v>
      </c>
      <c r="BA31" s="18" t="s">
        <v>38</v>
      </c>
      <c r="BB31" s="15" t="s">
        <v>167</v>
      </c>
      <c r="BC31" s="17" t="s">
        <v>131</v>
      </c>
      <c r="BD31" s="26" t="s">
        <v>132</v>
      </c>
      <c r="BE31" s="17" t="s">
        <v>133</v>
      </c>
      <c r="BF31" s="17" t="s">
        <v>134</v>
      </c>
      <c r="BG31" s="17" t="s">
        <v>135</v>
      </c>
      <c r="BH31" s="17" t="s">
        <v>137</v>
      </c>
      <c r="BI31" s="25" t="s">
        <v>136</v>
      </c>
      <c r="BJ31" s="47" t="s">
        <v>176</v>
      </c>
      <c r="BK31" s="26" t="s">
        <v>139</v>
      </c>
      <c r="BL31" s="25" t="s">
        <v>138</v>
      </c>
      <c r="BO31" s="6" t="s">
        <v>64</v>
      </c>
      <c r="BP31" s="4" t="s">
        <v>40</v>
      </c>
      <c r="BQ31" s="4" t="s">
        <v>40</v>
      </c>
      <c r="BR31" s="4">
        <v>-8.1560000000000006</v>
      </c>
      <c r="BS31" s="4">
        <v>-1.9165000000000001</v>
      </c>
      <c r="BT31" s="4">
        <v>-46.230800000000002</v>
      </c>
      <c r="BU31" s="4">
        <v>0</v>
      </c>
      <c r="BV31" s="4">
        <v>0</v>
      </c>
      <c r="BW31" s="9">
        <v>0</v>
      </c>
      <c r="BX31" s="3"/>
      <c r="BY31" s="7" t="s">
        <v>92</v>
      </c>
      <c r="BZ31" s="3">
        <v>1.63</v>
      </c>
      <c r="CA31" s="11">
        <v>-6.8000000000000005E-2</v>
      </c>
      <c r="CB31" s="7">
        <v>1</v>
      </c>
      <c r="CE31" s="1"/>
      <c r="CF31" s="7" t="s">
        <v>183</v>
      </c>
      <c r="CG31" s="10">
        <v>1</v>
      </c>
      <c r="CH31" s="10"/>
      <c r="CI31" s="3"/>
      <c r="CJ31" s="3"/>
      <c r="CK31" s="11"/>
      <c r="CL31" s="7"/>
      <c r="CM31" s="6"/>
      <c r="CN31" s="1"/>
      <c r="CO31" s="7" t="s">
        <v>79</v>
      </c>
      <c r="CP31" s="87"/>
      <c r="CQ31" s="87"/>
      <c r="CR31" s="87"/>
      <c r="CS31" s="87"/>
      <c r="CT31" s="87"/>
      <c r="CU31" s="87"/>
    </row>
    <row r="32" spans="1:99" ht="15" x14ac:dyDescent="0.25">
      <c r="A32" s="29"/>
      <c r="B32" s="30"/>
      <c r="C32" s="30"/>
      <c r="D32" s="29" t="s">
        <v>168</v>
      </c>
      <c r="E32" s="30">
        <v>20</v>
      </c>
      <c r="F32" s="30"/>
      <c r="G32" s="30">
        <v>2</v>
      </c>
      <c r="H32" s="30" t="s">
        <v>129</v>
      </c>
      <c r="I32" s="38">
        <v>50</v>
      </c>
      <c r="J32" s="93"/>
      <c r="K32" s="29" t="s">
        <v>42</v>
      </c>
      <c r="L32" s="30" t="s">
        <v>179</v>
      </c>
      <c r="M32" s="30">
        <v>2.2000000000000002</v>
      </c>
      <c r="N32" s="30">
        <v>27</v>
      </c>
      <c r="O32" s="38" t="s">
        <v>43</v>
      </c>
      <c r="P32" s="84"/>
      <c r="Q32" s="29" t="s">
        <v>44</v>
      </c>
      <c r="R32" s="30"/>
      <c r="S32" s="30"/>
      <c r="T32" s="30"/>
      <c r="U32" s="38"/>
      <c r="V32" s="53">
        <f t="shared" ref="V32:V41" si="67">IFERROR(10000*(N32/100)*AH32*AJ32*AG32%,"")</f>
        <v>82.659614399999995</v>
      </c>
      <c r="W32" s="53">
        <f t="shared" ref="W32:W41" si="68">IFERROR(IF(AV32+BA32&lt;0,0,AV32+BA32),"")</f>
        <v>0</v>
      </c>
      <c r="X32" s="54">
        <f t="shared" ref="X32:X41" si="69">IF(AND(V32&lt;&gt;"",W32&lt;&gt;""),W32/(V32*1000)*100,"")</f>
        <v>0</v>
      </c>
      <c r="Y32" s="6" t="str">
        <f>IF(W32&lt;&gt;"",IF(W32&lt;BY$62,BZ$62,IF(W32&lt;BY$63,BZ$63,IF(W32&lt;BY$64,BZ$64,IF(W32&lt;BY$65,BZ$65,BZ$66)))),"")</f>
        <v>Optimaalne, tagab saagikindluse, sobiv erineva huumussisaldusega muldadele</v>
      </c>
      <c r="Z32" s="31" t="str">
        <f t="shared" ref="Z32:Z41" si="70">IFERROR(IF(BL32=1,$BZ$58,""),"")</f>
        <v/>
      </c>
      <c r="AA32" s="87"/>
      <c r="AB32" s="70">
        <f>IFERROR($E32*V32,"")</f>
        <v>1653.192288</v>
      </c>
      <c r="AC32" s="69">
        <f t="shared" ref="AC32:AD41" si="71">IFERROR($E32*W32,"")</f>
        <v>0</v>
      </c>
      <c r="AD32" s="34">
        <f t="shared" si="71"/>
        <v>0</v>
      </c>
      <c r="AF32" s="81">
        <f t="shared" ref="AF32:AF41" si="72">VLOOKUP(K32,BY$29:CB$34,4,0)</f>
        <v>0.96</v>
      </c>
      <c r="AG32" s="6">
        <f t="shared" ref="AG32:AG41" si="73">VLOOKUP(L32,$BY$43:$BZ$44,2,0)*M32</f>
        <v>2.2000000000000002</v>
      </c>
      <c r="AH32" s="6">
        <f t="shared" ref="AH32:AH41" si="74">AK32+AL32*AG32</f>
        <v>1.4803999999999999</v>
      </c>
      <c r="AI32" s="6">
        <f t="shared" ref="AI32:AI41" si="75">$G32*$BB32*IF(ISERROR($BC32),1,$BC32)</f>
        <v>1.66</v>
      </c>
      <c r="AJ32" s="7">
        <f t="shared" ref="AJ32:AJ41" si="76">VLOOKUP(O32,BY$47:BZ$53,2,0)</f>
        <v>0.94</v>
      </c>
      <c r="AK32" s="10">
        <f t="shared" ref="AK32:AK41" si="77">VLOOKUP(K32,BY$29:CA$34,2,0)</f>
        <v>1.63</v>
      </c>
      <c r="AL32" s="11">
        <f t="shared" ref="AL32:AL41" si="78">VLOOKUP(K32,BY$29:CA$34,3,0)</f>
        <v>-6.8000000000000005E-2</v>
      </c>
      <c r="AM32" s="21">
        <f t="array" ref="AM32">INDEX(BO$5:BU$85,MATCH(1,(BO$5:BO$85=D32)*(BP$5:BP$85=J32)*(BQ$5:BQ$85=T32),0),4)</f>
        <v>-1389.14</v>
      </c>
      <c r="AN32" s="14">
        <f t="array" ref="AN32">INDEX(BO$5:BU$85,MATCH(1,(BO$5:BO$85=D32)*(BP$5:BP$85=J32)*(BQ$5:BQ$85=T32),0),5)</f>
        <v>-1.1599999999999999</v>
      </c>
      <c r="AO32" s="14">
        <f t="array" ref="AO32">INDEX(BO$5:BU$85,MATCH(1,(BO$5:BO$85=D32)*(BP$5:BP$85=J32)*(BQ$5:BQ$85=T32),0),6)</f>
        <v>-26.5</v>
      </c>
      <c r="AP32" s="14">
        <f t="array" ref="AP32">INDEX(BO$5:BU$85,MATCH(1,(BO$5:BO$85=D32)*(BP$5:BP$85=J32)*(BQ$5:BQ$85=T32),0),7)</f>
        <v>0</v>
      </c>
      <c r="AQ32" s="14">
        <f t="array" ref="AQ32">INDEX(BO$5:BV$85,MATCH(1,(BO$5:BO$85=D32)*(BP$5:BP$85=J32)*(BQ$5:BQ$85=T32),0),8)</f>
        <v>0</v>
      </c>
      <c r="AR32" s="3">
        <f t="array" ref="AR32">INDEX(BO$5:BW$85,MATCH(1,(BO$5:BO$85=D32)*(BP$5:BP$85=J32)*(BQ$5:BQ$85=T32),0),9)</f>
        <v>18.87</v>
      </c>
      <c r="AS32" s="3">
        <f t="shared" ref="AS32:AS41" si="79">AM32+V32*AN32+AI32*AO32+AP32*U32+AQ32*U32*U32+AR32*I32</f>
        <v>-585.515152704</v>
      </c>
      <c r="AT32" s="10">
        <f t="shared" ref="AT32:AT41" si="80">IF(BK32=1,BJ32,AS32)</f>
        <v>-585.515152704</v>
      </c>
      <c r="AU32" s="3"/>
      <c r="AV32" s="11">
        <f t="shared" ref="AV32:AV41" si="81">AT32+ABS(AT32*AU32)</f>
        <v>-585.515152704</v>
      </c>
      <c r="AW32" s="10">
        <f t="shared" ref="AW32:AW41" si="82">VLOOKUP(Q32,BY$5:CB$25,2,0)</f>
        <v>0</v>
      </c>
      <c r="AX32" s="3">
        <f t="shared" ref="AX32:AX41" si="83">VLOOKUP(Q32,BY$5:CB$25,3,0)</f>
        <v>0</v>
      </c>
      <c r="AY32" s="3">
        <f t="shared" ref="AY32:AY41" si="84">VLOOKUP(Q32,BY$5:CB$25,4,0)</f>
        <v>0</v>
      </c>
      <c r="AZ32" s="3">
        <f t="shared" ref="AZ32:AZ41" si="85">VLOOKUP(Q32,BY$5:CD$25,5,0)*120</f>
        <v>0</v>
      </c>
      <c r="BA32" s="11">
        <f t="shared" ref="BA32:BA41" si="86">(((AW32+S32*AX32+R32*AY32)*R32)+AZ32)*AF32</f>
        <v>0</v>
      </c>
      <c r="BB32" s="10">
        <f t="shared" ref="BB32:BB41" si="87">VLOOKUP($D32,$CF$15:$CG$32,2,0)</f>
        <v>1</v>
      </c>
      <c r="BC32" s="3">
        <f t="shared" ref="BC32:BC41" si="88">VLOOKUP($H32,$CH$35:$CI$36,2,0)</f>
        <v>0.83</v>
      </c>
      <c r="BD32" s="10">
        <f t="shared" ref="BD32:BD41" si="89">VLOOKUP($D32,$CF$15:$CK$32,3,0)</f>
        <v>0</v>
      </c>
      <c r="BE32" s="3">
        <f t="shared" ref="BE32:BE41" si="90">VLOOKUP($D32,$CF$15:$CK$32,4,0)</f>
        <v>0</v>
      </c>
      <c r="BF32" s="3">
        <f t="shared" ref="BF32:BF41" si="91">VLOOKUP($D32,$CF$15:$CK$32,5,0)</f>
        <v>0</v>
      </c>
      <c r="BG32" s="3">
        <f t="shared" ref="BG32:BG41" si="92">VLOOKUP($D32,$CF$15:$CK$32,6,0)</f>
        <v>0</v>
      </c>
      <c r="BH32" s="3">
        <f t="shared" ref="BH32:BH41" si="93">VLOOKUP($D32,$CF$15:$CL$32,7,0)</f>
        <v>0</v>
      </c>
      <c r="BI32" s="27">
        <f t="shared" ref="BI32:BI41" si="94">IF(AG32&gt;6,BH32,BD32*AG32*AG32*AG32+BE32*AG32*AG32+BF32*AG32+BG32)</f>
        <v>0</v>
      </c>
      <c r="BJ32" s="7">
        <f t="shared" ref="BJ32:BJ41" si="95">VLOOKUP($D32,$CF$15:$CM$32,8,0)</f>
        <v>0</v>
      </c>
      <c r="BK32" s="10" t="str">
        <f t="shared" ref="BK32:BK41" si="96">IF(AND(T32="jah",AS32&gt;BJ32,BJ32&lt;&gt;0),1,"")</f>
        <v/>
      </c>
      <c r="BL32" s="11" t="str">
        <f t="shared" ref="BL32:BL41" si="97">IF(AND(T32="ei",Q32=$BY$5,G32&gt;BI32,BI32&gt;0),1,"")</f>
        <v/>
      </c>
      <c r="BO32" s="7" t="s">
        <v>64</v>
      </c>
      <c r="BP32" s="3" t="s">
        <v>45</v>
      </c>
      <c r="BQ32" s="3" t="s">
        <v>40</v>
      </c>
      <c r="BR32" s="3">
        <v>-8.1560000000000006</v>
      </c>
      <c r="BS32" s="3">
        <v>-1.9165000000000001</v>
      </c>
      <c r="BT32" s="3">
        <v>-46.230800000000002</v>
      </c>
      <c r="BU32" s="3">
        <v>0</v>
      </c>
      <c r="BV32" s="3">
        <v>0</v>
      </c>
      <c r="BW32" s="11">
        <v>0</v>
      </c>
      <c r="BX32" s="3"/>
      <c r="BY32" s="7" t="s">
        <v>95</v>
      </c>
      <c r="BZ32" s="3">
        <v>1.601</v>
      </c>
      <c r="CA32" s="11">
        <v>-6.6000000000000003E-2</v>
      </c>
      <c r="CB32" s="7">
        <v>1</v>
      </c>
      <c r="CE32" s="1"/>
      <c r="CF32" s="8" t="s">
        <v>166</v>
      </c>
      <c r="CG32" s="12">
        <v>1</v>
      </c>
      <c r="CH32" s="12"/>
      <c r="CI32" s="5"/>
      <c r="CJ32" s="5"/>
      <c r="CK32" s="13"/>
      <c r="CL32" s="8"/>
      <c r="CM32" s="8"/>
      <c r="CN32" s="1"/>
      <c r="CO32" s="7" t="s">
        <v>80</v>
      </c>
      <c r="CP32" s="87"/>
      <c r="CQ32" s="87"/>
      <c r="CR32" s="87"/>
      <c r="CS32" s="87"/>
      <c r="CT32" s="87"/>
      <c r="CU32" s="87"/>
    </row>
    <row r="33" spans="1:99" ht="15" x14ac:dyDescent="0.25">
      <c r="A33" s="32"/>
      <c r="B33" s="33"/>
      <c r="C33" s="33"/>
      <c r="D33" s="32" t="s">
        <v>169</v>
      </c>
      <c r="E33" s="33">
        <v>20</v>
      </c>
      <c r="F33" s="33"/>
      <c r="G33" s="33">
        <v>2</v>
      </c>
      <c r="H33" s="33" t="s">
        <v>129</v>
      </c>
      <c r="I33" s="39">
        <v>50</v>
      </c>
      <c r="J33" s="94"/>
      <c r="K33" s="32" t="s">
        <v>42</v>
      </c>
      <c r="L33" s="33" t="s">
        <v>179</v>
      </c>
      <c r="M33" s="33">
        <v>2.2000000000000002</v>
      </c>
      <c r="N33" s="33">
        <v>27</v>
      </c>
      <c r="O33" s="39" t="s">
        <v>43</v>
      </c>
      <c r="P33" s="85"/>
      <c r="Q33" s="32" t="s">
        <v>162</v>
      </c>
      <c r="R33" s="33">
        <v>25</v>
      </c>
      <c r="S33" s="33">
        <v>15</v>
      </c>
      <c r="T33" s="33"/>
      <c r="U33" s="39"/>
      <c r="V33" s="55">
        <f t="shared" si="67"/>
        <v>82.659614399999995</v>
      </c>
      <c r="W33" s="55">
        <f t="shared" si="68"/>
        <v>1448.0581174271997</v>
      </c>
      <c r="X33" s="56">
        <f t="shared" si="69"/>
        <v>1.7518326548438385</v>
      </c>
      <c r="Y33" s="7" t="str">
        <f t="shared" ref="Y33:Y41" si="98">IF(W33&lt;&gt;"",IF(W33&lt;BY$62,BZ$62,IF(W33&lt;BY$63,BZ$63,IF(W33&lt;BY$64,BZ$64,IF(W33&lt;BY$65,BZ$65,BZ$66)))),"")</f>
        <v>Väga kõrge, suureneb lämmastiku leostumise oht</v>
      </c>
      <c r="Z33" s="34" t="str">
        <f t="shared" si="70"/>
        <v/>
      </c>
      <c r="AA33" s="87"/>
      <c r="AB33" s="70">
        <f t="shared" ref="AB33:AB41" si="99">IFERROR($E33*V33,"")</f>
        <v>1653.192288</v>
      </c>
      <c r="AC33" s="69">
        <f t="shared" si="71"/>
        <v>28961.162348543992</v>
      </c>
      <c r="AD33" s="34">
        <f t="shared" si="71"/>
        <v>35.036653096876769</v>
      </c>
      <c r="AF33" s="82">
        <f t="shared" si="72"/>
        <v>0.96</v>
      </c>
      <c r="AG33" s="7">
        <f t="shared" si="73"/>
        <v>2.2000000000000002</v>
      </c>
      <c r="AH33" s="7">
        <f t="shared" si="74"/>
        <v>1.4803999999999999</v>
      </c>
      <c r="AI33" s="7">
        <f t="shared" si="75"/>
        <v>1.66</v>
      </c>
      <c r="AJ33" s="7">
        <f t="shared" si="76"/>
        <v>0.94</v>
      </c>
      <c r="AK33" s="10">
        <f t="shared" si="77"/>
        <v>1.63</v>
      </c>
      <c r="AL33" s="11">
        <f t="shared" si="78"/>
        <v>-6.8000000000000005E-2</v>
      </c>
      <c r="AM33" s="21">
        <f t="array" ref="AM33">INDEX(BO$5:BU$85,MATCH(1,(BO$5:BO$85=D33)*(BP$5:BP$85=J33)*(BQ$5:BQ$85=T33),0),4)</f>
        <v>-310.47300000000001</v>
      </c>
      <c r="AN33" s="14">
        <f t="array" ref="AN33">INDEX(BO$5:BU$85,MATCH(1,(BO$5:BO$85=D33)*(BP$5:BP$85=J33)*(BQ$5:BQ$85=T33),0),5)</f>
        <v>-0.51200000000000001</v>
      </c>
      <c r="AO33" s="14">
        <f t="array" ref="AO33">INDEX(BO$5:BU$85,MATCH(1,(BO$5:BO$85=D33)*(BP$5:BP$85=J33)*(BQ$5:BQ$85=T33),0),6)</f>
        <v>99.073999999999998</v>
      </c>
      <c r="AP33" s="14">
        <f t="array" ref="AP33">INDEX(BO$5:BU$85,MATCH(1,(BO$5:BO$85=D33)*(BP$5:BP$85=J33)*(BQ$5:BQ$85=T33),0),7)</f>
        <v>0</v>
      </c>
      <c r="AQ33" s="14">
        <f t="array" ref="AQ33">INDEX(BO$5:BV$85,MATCH(1,(BO$5:BO$85=D33)*(BP$5:BP$85=J33)*(BQ$5:BQ$85=T33),0),8)</f>
        <v>0</v>
      </c>
      <c r="AR33" s="3">
        <f t="array" ref="AR33">INDEX(BO$5:BW$85,MATCH(1,(BO$5:BO$85=D33)*(BP$5:BP$85=J33)*(BQ$5:BQ$85=T33),0),9)</f>
        <v>17.747</v>
      </c>
      <c r="AS33" s="3">
        <f t="shared" si="79"/>
        <v>699.01811742719997</v>
      </c>
      <c r="AT33" s="10">
        <f t="shared" si="80"/>
        <v>699.01811742719997</v>
      </c>
      <c r="AU33" s="3"/>
      <c r="AV33" s="11">
        <f t="shared" si="81"/>
        <v>699.01811742719997</v>
      </c>
      <c r="AW33" s="10">
        <f t="shared" si="82"/>
        <v>0.96</v>
      </c>
      <c r="AX33" s="3">
        <f t="shared" si="83"/>
        <v>2.0499999999999998</v>
      </c>
      <c r="AY33" s="3">
        <f t="shared" si="84"/>
        <v>-0.02</v>
      </c>
      <c r="AZ33" s="3">
        <f t="shared" si="85"/>
        <v>0</v>
      </c>
      <c r="BA33" s="11">
        <f t="shared" si="86"/>
        <v>749.03999999999985</v>
      </c>
      <c r="BB33" s="10">
        <f t="shared" si="87"/>
        <v>1</v>
      </c>
      <c r="BC33" s="3">
        <f t="shared" si="88"/>
        <v>0.83</v>
      </c>
      <c r="BD33" s="10">
        <f t="shared" si="89"/>
        <v>0</v>
      </c>
      <c r="BE33" s="3">
        <f t="shared" si="90"/>
        <v>0</v>
      </c>
      <c r="BF33" s="3">
        <f t="shared" si="91"/>
        <v>0</v>
      </c>
      <c r="BG33" s="3">
        <f t="shared" si="92"/>
        <v>0</v>
      </c>
      <c r="BH33" s="3">
        <f t="shared" si="93"/>
        <v>0</v>
      </c>
      <c r="BI33" s="27">
        <f t="shared" si="94"/>
        <v>0</v>
      </c>
      <c r="BJ33" s="7">
        <f t="shared" si="95"/>
        <v>0</v>
      </c>
      <c r="BK33" s="10" t="str">
        <f t="shared" si="96"/>
        <v/>
      </c>
      <c r="BL33" s="11" t="str">
        <f t="shared" si="97"/>
        <v/>
      </c>
      <c r="BO33" s="7" t="s">
        <v>64</v>
      </c>
      <c r="BP33" s="3"/>
      <c r="BQ33" s="3" t="s">
        <v>40</v>
      </c>
      <c r="BR33" s="3">
        <v>-8.1560000000000006</v>
      </c>
      <c r="BS33" s="3">
        <v>-1.9165000000000001</v>
      </c>
      <c r="BT33" s="3">
        <v>-46.230800000000002</v>
      </c>
      <c r="BU33" s="3">
        <v>0</v>
      </c>
      <c r="BV33" s="3">
        <v>0</v>
      </c>
      <c r="BW33" s="11">
        <v>0</v>
      </c>
      <c r="BX33" s="3"/>
      <c r="BY33" s="7" t="s">
        <v>98</v>
      </c>
      <c r="BZ33" s="3">
        <v>1.5489999999999999</v>
      </c>
      <c r="CA33" s="11">
        <v>-6.2E-2</v>
      </c>
      <c r="CB33" s="7">
        <v>0.98</v>
      </c>
      <c r="CE33" s="1"/>
      <c r="CF33" s="1"/>
      <c r="CG33" s="1"/>
      <c r="CI33" s="1"/>
      <c r="CJ33" s="1"/>
      <c r="CK33" s="1"/>
      <c r="CL33" s="1"/>
      <c r="CM33" s="1"/>
      <c r="CN33" s="1"/>
      <c r="CO33" s="7" t="s">
        <v>81</v>
      </c>
      <c r="CP33" s="87"/>
      <c r="CQ33" s="87"/>
      <c r="CR33" s="87"/>
      <c r="CS33" s="87"/>
      <c r="CT33" s="87"/>
      <c r="CU33" s="87"/>
    </row>
    <row r="34" spans="1:99" ht="15" x14ac:dyDescent="0.25">
      <c r="A34" s="32"/>
      <c r="B34" s="33"/>
      <c r="C34" s="33"/>
      <c r="D34" s="32"/>
      <c r="E34" s="33"/>
      <c r="F34" s="33"/>
      <c r="G34" s="33"/>
      <c r="H34" s="33"/>
      <c r="I34" s="39"/>
      <c r="J34" s="94"/>
      <c r="K34" s="32"/>
      <c r="L34" s="33"/>
      <c r="M34" s="33"/>
      <c r="N34" s="33"/>
      <c r="O34" s="39"/>
      <c r="P34" s="85"/>
      <c r="Q34" s="32"/>
      <c r="R34" s="33"/>
      <c r="S34" s="33"/>
      <c r="T34" s="33"/>
      <c r="U34" s="39"/>
      <c r="V34" s="55" t="str">
        <f t="shared" si="67"/>
        <v/>
      </c>
      <c r="W34" s="55" t="str">
        <f t="shared" si="68"/>
        <v/>
      </c>
      <c r="X34" s="56" t="str">
        <f t="shared" si="69"/>
        <v/>
      </c>
      <c r="Y34" s="7" t="str">
        <f t="shared" si="98"/>
        <v/>
      </c>
      <c r="Z34" s="34" t="str">
        <f t="shared" si="70"/>
        <v/>
      </c>
      <c r="AA34" s="87"/>
      <c r="AB34" s="70" t="str">
        <f t="shared" si="99"/>
        <v/>
      </c>
      <c r="AC34" s="69" t="str">
        <f t="shared" si="71"/>
        <v/>
      </c>
      <c r="AD34" s="34" t="str">
        <f t="shared" si="71"/>
        <v/>
      </c>
      <c r="AF34" s="82" t="e">
        <f t="shared" si="72"/>
        <v>#N/A</v>
      </c>
      <c r="AG34" s="7" t="e">
        <f t="shared" si="73"/>
        <v>#N/A</v>
      </c>
      <c r="AH34" s="7" t="e">
        <f t="shared" si="74"/>
        <v>#N/A</v>
      </c>
      <c r="AI34" s="7" t="e">
        <f t="shared" si="75"/>
        <v>#N/A</v>
      </c>
      <c r="AJ34" s="7" t="e">
        <f t="shared" si="76"/>
        <v>#N/A</v>
      </c>
      <c r="AK34" s="10" t="e">
        <f t="shared" si="77"/>
        <v>#N/A</v>
      </c>
      <c r="AL34" s="11" t="e">
        <f t="shared" si="78"/>
        <v>#N/A</v>
      </c>
      <c r="AM34" s="21">
        <f t="array" ref="AM34">INDEX(BO$5:BU$85,MATCH(1,(BO$5:BO$85=D34)*(BP$5:BP$85=J34)*(BQ$5:BQ$85=T34),0),4)</f>
        <v>0</v>
      </c>
      <c r="AN34" s="14">
        <f t="array" ref="AN34">INDEX(BO$5:BU$85,MATCH(1,(BO$5:BO$85=D34)*(BP$5:BP$85=J34)*(BQ$5:BQ$85=T34),0),5)</f>
        <v>0</v>
      </c>
      <c r="AO34" s="14">
        <f t="array" ref="AO34">INDEX(BO$5:BU$85,MATCH(1,(BO$5:BO$85=D34)*(BP$5:BP$85=J34)*(BQ$5:BQ$85=T34),0),6)</f>
        <v>0</v>
      </c>
      <c r="AP34" s="14">
        <f t="array" ref="AP34">INDEX(BO$5:BU$85,MATCH(1,(BO$5:BO$85=D34)*(BP$5:BP$85=J34)*(BQ$5:BQ$85=T34),0),7)</f>
        <v>0</v>
      </c>
      <c r="AQ34" s="14">
        <f t="array" ref="AQ34">INDEX(BO$5:BV$85,MATCH(1,(BO$5:BO$85=D34)*(BP$5:BP$85=J34)*(BQ$5:BQ$85=T34),0),8)</f>
        <v>0</v>
      </c>
      <c r="AR34" s="3">
        <f t="array" ref="AR34">INDEX(BO$5:BW$85,MATCH(1,(BO$5:BO$85=D34)*(BP$5:BP$85=J34)*(BQ$5:BQ$85=T34),0),9)</f>
        <v>0</v>
      </c>
      <c r="AS34" s="3" t="e">
        <f t="shared" si="79"/>
        <v>#VALUE!</v>
      </c>
      <c r="AT34" s="10" t="e">
        <f t="shared" si="80"/>
        <v>#VALUE!</v>
      </c>
      <c r="AU34" s="3"/>
      <c r="AV34" s="11" t="e">
        <f t="shared" si="81"/>
        <v>#VALUE!</v>
      </c>
      <c r="AW34" s="10" t="e">
        <f t="shared" si="82"/>
        <v>#N/A</v>
      </c>
      <c r="AX34" s="3" t="e">
        <f t="shared" si="83"/>
        <v>#N/A</v>
      </c>
      <c r="AY34" s="3" t="e">
        <f t="shared" si="84"/>
        <v>#N/A</v>
      </c>
      <c r="AZ34" s="3" t="e">
        <f t="shared" si="85"/>
        <v>#N/A</v>
      </c>
      <c r="BA34" s="11" t="e">
        <f t="shared" si="86"/>
        <v>#N/A</v>
      </c>
      <c r="BB34" s="10" t="e">
        <f t="shared" si="87"/>
        <v>#N/A</v>
      </c>
      <c r="BC34" s="3" t="e">
        <f t="shared" si="88"/>
        <v>#N/A</v>
      </c>
      <c r="BD34" s="10" t="e">
        <f t="shared" si="89"/>
        <v>#N/A</v>
      </c>
      <c r="BE34" s="3" t="e">
        <f t="shared" si="90"/>
        <v>#N/A</v>
      </c>
      <c r="BF34" s="3" t="e">
        <f t="shared" si="91"/>
        <v>#N/A</v>
      </c>
      <c r="BG34" s="3" t="e">
        <f t="shared" si="92"/>
        <v>#N/A</v>
      </c>
      <c r="BH34" s="3" t="e">
        <f t="shared" si="93"/>
        <v>#N/A</v>
      </c>
      <c r="BI34" s="27" t="e">
        <f t="shared" si="94"/>
        <v>#N/A</v>
      </c>
      <c r="BJ34" s="7" t="e">
        <f t="shared" si="95"/>
        <v>#N/A</v>
      </c>
      <c r="BK34" s="10" t="e">
        <f t="shared" si="96"/>
        <v>#VALUE!</v>
      </c>
      <c r="BL34" s="11" t="e">
        <f t="shared" si="97"/>
        <v>#N/A</v>
      </c>
      <c r="BO34" s="7" t="s">
        <v>64</v>
      </c>
      <c r="BP34" s="3" t="s">
        <v>40</v>
      </c>
      <c r="BQ34" s="3" t="s">
        <v>45</v>
      </c>
      <c r="BR34" s="3">
        <v>640.52869999999996</v>
      </c>
      <c r="BS34" s="3">
        <v>-10.3202</v>
      </c>
      <c r="BT34" s="3">
        <v>-53.287999999999997</v>
      </c>
      <c r="BU34" s="3">
        <v>6.51</v>
      </c>
      <c r="BV34" s="3">
        <v>-2.47E-2</v>
      </c>
      <c r="BW34" s="11">
        <v>0</v>
      </c>
      <c r="BX34" s="3"/>
      <c r="BY34" s="8" t="s">
        <v>101</v>
      </c>
      <c r="BZ34" s="5">
        <v>1.41</v>
      </c>
      <c r="CA34" s="13">
        <v>-0.06</v>
      </c>
      <c r="CB34" s="8">
        <v>0.95</v>
      </c>
      <c r="CE34" s="1"/>
      <c r="CF34" s="1"/>
      <c r="CG34" s="1"/>
      <c r="CH34" s="1" t="s">
        <v>147</v>
      </c>
      <c r="CI34" s="1"/>
      <c r="CJ34" s="1"/>
      <c r="CK34" s="3"/>
      <c r="CL34" s="3"/>
      <c r="CM34" s="1"/>
      <c r="CN34" s="1"/>
      <c r="CO34" s="7" t="s">
        <v>82</v>
      </c>
      <c r="CP34" s="87"/>
      <c r="CQ34" s="87"/>
      <c r="CR34" s="87"/>
      <c r="CS34" s="87"/>
      <c r="CT34" s="87"/>
      <c r="CU34" s="87"/>
    </row>
    <row r="35" spans="1:99" ht="15" x14ac:dyDescent="0.25">
      <c r="A35" s="32"/>
      <c r="B35" s="33"/>
      <c r="C35" s="33"/>
      <c r="D35" s="32"/>
      <c r="E35" s="33"/>
      <c r="F35" s="33"/>
      <c r="G35" s="33"/>
      <c r="H35" s="33"/>
      <c r="I35" s="39"/>
      <c r="J35" s="94"/>
      <c r="K35" s="32"/>
      <c r="L35" s="33"/>
      <c r="M35" s="33"/>
      <c r="N35" s="33"/>
      <c r="O35" s="39"/>
      <c r="P35" s="85"/>
      <c r="Q35" s="32"/>
      <c r="R35" s="33"/>
      <c r="S35" s="33"/>
      <c r="T35" s="33"/>
      <c r="U35" s="39"/>
      <c r="V35" s="55" t="str">
        <f t="shared" si="67"/>
        <v/>
      </c>
      <c r="W35" s="55" t="str">
        <f t="shared" si="68"/>
        <v/>
      </c>
      <c r="X35" s="56" t="str">
        <f t="shared" si="69"/>
        <v/>
      </c>
      <c r="Y35" s="7" t="str">
        <f t="shared" si="98"/>
        <v/>
      </c>
      <c r="Z35" s="34" t="str">
        <f t="shared" si="70"/>
        <v/>
      </c>
      <c r="AA35" s="87"/>
      <c r="AB35" s="70" t="str">
        <f t="shared" si="99"/>
        <v/>
      </c>
      <c r="AC35" s="69" t="str">
        <f t="shared" si="71"/>
        <v/>
      </c>
      <c r="AD35" s="34" t="str">
        <f t="shared" si="71"/>
        <v/>
      </c>
      <c r="AF35" s="82" t="e">
        <f t="shared" si="72"/>
        <v>#N/A</v>
      </c>
      <c r="AG35" s="7" t="e">
        <f t="shared" si="73"/>
        <v>#N/A</v>
      </c>
      <c r="AH35" s="7" t="e">
        <f t="shared" si="74"/>
        <v>#N/A</v>
      </c>
      <c r="AI35" s="7" t="e">
        <f t="shared" si="75"/>
        <v>#N/A</v>
      </c>
      <c r="AJ35" s="7" t="e">
        <f t="shared" si="76"/>
        <v>#N/A</v>
      </c>
      <c r="AK35" s="10" t="e">
        <f t="shared" si="77"/>
        <v>#N/A</v>
      </c>
      <c r="AL35" s="11" t="e">
        <f t="shared" si="78"/>
        <v>#N/A</v>
      </c>
      <c r="AM35" s="21">
        <f t="array" ref="AM35">INDEX(BO$5:BU$85,MATCH(1,(BO$5:BO$85=D35)*(BP$5:BP$85=J35)*(BQ$5:BQ$85=T35),0),4)</f>
        <v>0</v>
      </c>
      <c r="AN35" s="14">
        <f t="array" ref="AN35">INDEX(BO$5:BU$85,MATCH(1,(BO$5:BO$85=D35)*(BP$5:BP$85=J35)*(BQ$5:BQ$85=T35),0),5)</f>
        <v>0</v>
      </c>
      <c r="AO35" s="14">
        <f t="array" ref="AO35">INDEX(BO$5:BU$85,MATCH(1,(BO$5:BO$85=D35)*(BP$5:BP$85=J35)*(BQ$5:BQ$85=T35),0),6)</f>
        <v>0</v>
      </c>
      <c r="AP35" s="14">
        <f t="array" ref="AP35">INDEX(BO$5:BU$85,MATCH(1,(BO$5:BO$85=D35)*(BP$5:BP$85=J35)*(BQ$5:BQ$85=T35),0),7)</f>
        <v>0</v>
      </c>
      <c r="AQ35" s="14">
        <f t="array" ref="AQ35">INDEX(BO$5:BV$85,MATCH(1,(BO$5:BO$85=D35)*(BP$5:BP$85=J35)*(BQ$5:BQ$85=T35),0),8)</f>
        <v>0</v>
      </c>
      <c r="AR35" s="3">
        <f t="array" ref="AR35">INDEX(BO$5:BW$85,MATCH(1,(BO$5:BO$85=D35)*(BP$5:BP$85=J35)*(BQ$5:BQ$85=T35),0),9)</f>
        <v>0</v>
      </c>
      <c r="AS35" s="3" t="e">
        <f t="shared" si="79"/>
        <v>#VALUE!</v>
      </c>
      <c r="AT35" s="10" t="e">
        <f t="shared" si="80"/>
        <v>#VALUE!</v>
      </c>
      <c r="AU35" s="3"/>
      <c r="AV35" s="11" t="e">
        <f t="shared" si="81"/>
        <v>#VALUE!</v>
      </c>
      <c r="AW35" s="10" t="e">
        <f t="shared" si="82"/>
        <v>#N/A</v>
      </c>
      <c r="AX35" s="3" t="e">
        <f t="shared" si="83"/>
        <v>#N/A</v>
      </c>
      <c r="AY35" s="3" t="e">
        <f t="shared" si="84"/>
        <v>#N/A</v>
      </c>
      <c r="AZ35" s="3" t="e">
        <f t="shared" si="85"/>
        <v>#N/A</v>
      </c>
      <c r="BA35" s="11" t="e">
        <f t="shared" si="86"/>
        <v>#N/A</v>
      </c>
      <c r="BB35" s="10" t="e">
        <f t="shared" si="87"/>
        <v>#N/A</v>
      </c>
      <c r="BC35" s="3" t="e">
        <f t="shared" si="88"/>
        <v>#N/A</v>
      </c>
      <c r="BD35" s="10" t="e">
        <f t="shared" si="89"/>
        <v>#N/A</v>
      </c>
      <c r="BE35" s="3" t="e">
        <f t="shared" si="90"/>
        <v>#N/A</v>
      </c>
      <c r="BF35" s="3" t="e">
        <f t="shared" si="91"/>
        <v>#N/A</v>
      </c>
      <c r="BG35" s="3" t="e">
        <f t="shared" si="92"/>
        <v>#N/A</v>
      </c>
      <c r="BH35" s="3" t="e">
        <f t="shared" si="93"/>
        <v>#N/A</v>
      </c>
      <c r="BI35" s="27" t="e">
        <f t="shared" si="94"/>
        <v>#N/A</v>
      </c>
      <c r="BJ35" s="7" t="e">
        <f t="shared" si="95"/>
        <v>#N/A</v>
      </c>
      <c r="BK35" s="10" t="e">
        <f t="shared" si="96"/>
        <v>#VALUE!</v>
      </c>
      <c r="BL35" s="11" t="e">
        <f t="shared" si="97"/>
        <v>#N/A</v>
      </c>
      <c r="BO35" s="7" t="s">
        <v>64</v>
      </c>
      <c r="BP35" s="3" t="s">
        <v>45</v>
      </c>
      <c r="BQ35" s="3" t="s">
        <v>45</v>
      </c>
      <c r="BR35" s="3">
        <v>640.52869999999996</v>
      </c>
      <c r="BS35" s="3">
        <v>-10.3202</v>
      </c>
      <c r="BT35" s="3">
        <v>-53.287999999999997</v>
      </c>
      <c r="BU35" s="3">
        <v>6.51</v>
      </c>
      <c r="BV35" s="3">
        <v>-2.47E-2</v>
      </c>
      <c r="BW35" s="11">
        <v>0</v>
      </c>
      <c r="BX35" s="3"/>
      <c r="BY35" s="1"/>
      <c r="BZ35" s="1"/>
      <c r="CA35" s="1"/>
      <c r="CB35" s="1"/>
      <c r="CE35" s="1"/>
      <c r="CF35" s="1"/>
      <c r="CG35" s="1"/>
      <c r="CH35" s="6" t="s">
        <v>129</v>
      </c>
      <c r="CI35" s="9">
        <v>0.83</v>
      </c>
      <c r="CJ35" s="1"/>
      <c r="CK35" s="1"/>
      <c r="CL35" s="1"/>
      <c r="CM35" s="1"/>
      <c r="CN35" s="1"/>
      <c r="CO35" s="7" t="s">
        <v>83</v>
      </c>
      <c r="CP35" s="87"/>
      <c r="CQ35" s="87"/>
      <c r="CR35" s="87"/>
      <c r="CS35" s="87"/>
      <c r="CT35" s="87"/>
      <c r="CU35" s="87"/>
    </row>
    <row r="36" spans="1:99" ht="15" x14ac:dyDescent="0.25">
      <c r="A36" s="32"/>
      <c r="B36" s="33"/>
      <c r="C36" s="33"/>
      <c r="D36" s="32"/>
      <c r="E36" s="33"/>
      <c r="F36" s="33"/>
      <c r="G36" s="33"/>
      <c r="H36" s="33"/>
      <c r="I36" s="39"/>
      <c r="J36" s="94"/>
      <c r="K36" s="32"/>
      <c r="L36" s="33"/>
      <c r="M36" s="33"/>
      <c r="N36" s="33"/>
      <c r="O36" s="39"/>
      <c r="P36" s="85"/>
      <c r="Q36" s="32"/>
      <c r="R36" s="33"/>
      <c r="S36" s="33"/>
      <c r="T36" s="33"/>
      <c r="U36" s="39"/>
      <c r="V36" s="55" t="str">
        <f t="shared" si="67"/>
        <v/>
      </c>
      <c r="W36" s="55" t="str">
        <f t="shared" si="68"/>
        <v/>
      </c>
      <c r="X36" s="56" t="str">
        <f t="shared" si="69"/>
        <v/>
      </c>
      <c r="Y36" s="7" t="str">
        <f t="shared" si="98"/>
        <v/>
      </c>
      <c r="Z36" s="34" t="str">
        <f t="shared" si="70"/>
        <v/>
      </c>
      <c r="AA36" s="87"/>
      <c r="AB36" s="70" t="str">
        <f t="shared" si="99"/>
        <v/>
      </c>
      <c r="AC36" s="69" t="str">
        <f t="shared" si="71"/>
        <v/>
      </c>
      <c r="AD36" s="34" t="str">
        <f t="shared" si="71"/>
        <v/>
      </c>
      <c r="AF36" s="82" t="e">
        <f t="shared" si="72"/>
        <v>#N/A</v>
      </c>
      <c r="AG36" s="7" t="e">
        <f t="shared" si="73"/>
        <v>#N/A</v>
      </c>
      <c r="AH36" s="7" t="e">
        <f t="shared" si="74"/>
        <v>#N/A</v>
      </c>
      <c r="AI36" s="7" t="e">
        <f t="shared" si="75"/>
        <v>#N/A</v>
      </c>
      <c r="AJ36" s="7" t="e">
        <f t="shared" si="76"/>
        <v>#N/A</v>
      </c>
      <c r="AK36" s="10" t="e">
        <f t="shared" si="77"/>
        <v>#N/A</v>
      </c>
      <c r="AL36" s="11" t="e">
        <f t="shared" si="78"/>
        <v>#N/A</v>
      </c>
      <c r="AM36" s="21">
        <f t="array" ref="AM36">INDEX(BO$5:BU$85,MATCH(1,(BO$5:BO$85=D36)*(BP$5:BP$85=J36)*(BQ$5:BQ$85=T36),0),4)</f>
        <v>0</v>
      </c>
      <c r="AN36" s="14">
        <f t="array" ref="AN36">INDEX(BO$5:BU$85,MATCH(1,(BO$5:BO$85=D36)*(BP$5:BP$85=J36)*(BQ$5:BQ$85=T36),0),5)</f>
        <v>0</v>
      </c>
      <c r="AO36" s="14">
        <f t="array" ref="AO36">INDEX(BO$5:BU$85,MATCH(1,(BO$5:BO$85=D36)*(BP$5:BP$85=J36)*(BQ$5:BQ$85=T36),0),6)</f>
        <v>0</v>
      </c>
      <c r="AP36" s="14">
        <f t="array" ref="AP36">INDEX(BO$5:BU$85,MATCH(1,(BO$5:BO$85=D36)*(BP$5:BP$85=J36)*(BQ$5:BQ$85=T36),0),7)</f>
        <v>0</v>
      </c>
      <c r="AQ36" s="14">
        <f t="array" ref="AQ36">INDEX(BO$5:BV$85,MATCH(1,(BO$5:BO$85=D36)*(BP$5:BP$85=J36)*(BQ$5:BQ$85=T36),0),8)</f>
        <v>0</v>
      </c>
      <c r="AR36" s="3">
        <f t="array" ref="AR36">INDEX(BO$5:BW$85,MATCH(1,(BO$5:BO$85=D36)*(BP$5:BP$85=J36)*(BQ$5:BQ$85=T36),0),9)</f>
        <v>0</v>
      </c>
      <c r="AS36" s="3" t="e">
        <f t="shared" si="79"/>
        <v>#VALUE!</v>
      </c>
      <c r="AT36" s="10" t="e">
        <f t="shared" si="80"/>
        <v>#VALUE!</v>
      </c>
      <c r="AU36" s="3"/>
      <c r="AV36" s="11" t="e">
        <f t="shared" si="81"/>
        <v>#VALUE!</v>
      </c>
      <c r="AW36" s="10" t="e">
        <f t="shared" si="82"/>
        <v>#N/A</v>
      </c>
      <c r="AX36" s="3" t="e">
        <f t="shared" si="83"/>
        <v>#N/A</v>
      </c>
      <c r="AY36" s="3" t="e">
        <f t="shared" si="84"/>
        <v>#N/A</v>
      </c>
      <c r="AZ36" s="3" t="e">
        <f t="shared" si="85"/>
        <v>#N/A</v>
      </c>
      <c r="BA36" s="11" t="e">
        <f t="shared" si="86"/>
        <v>#N/A</v>
      </c>
      <c r="BB36" s="10" t="e">
        <f t="shared" si="87"/>
        <v>#N/A</v>
      </c>
      <c r="BC36" s="3" t="e">
        <f t="shared" si="88"/>
        <v>#N/A</v>
      </c>
      <c r="BD36" s="10" t="e">
        <f t="shared" si="89"/>
        <v>#N/A</v>
      </c>
      <c r="BE36" s="3" t="e">
        <f t="shared" si="90"/>
        <v>#N/A</v>
      </c>
      <c r="BF36" s="3" t="e">
        <f t="shared" si="91"/>
        <v>#N/A</v>
      </c>
      <c r="BG36" s="3" t="e">
        <f t="shared" si="92"/>
        <v>#N/A</v>
      </c>
      <c r="BH36" s="3" t="e">
        <f t="shared" si="93"/>
        <v>#N/A</v>
      </c>
      <c r="BI36" s="27" t="e">
        <f t="shared" si="94"/>
        <v>#N/A</v>
      </c>
      <c r="BJ36" s="7" t="e">
        <f t="shared" si="95"/>
        <v>#N/A</v>
      </c>
      <c r="BK36" s="10" t="e">
        <f t="shared" si="96"/>
        <v>#VALUE!</v>
      </c>
      <c r="BL36" s="11" t="e">
        <f t="shared" si="97"/>
        <v>#N/A</v>
      </c>
      <c r="BO36" s="8" t="s">
        <v>64</v>
      </c>
      <c r="BP36" s="5"/>
      <c r="BQ36" s="5" t="s">
        <v>45</v>
      </c>
      <c r="BR36" s="5">
        <v>640.52869999999996</v>
      </c>
      <c r="BS36" s="5">
        <v>-10.3202</v>
      </c>
      <c r="BT36" s="5">
        <v>-53.287999999999997</v>
      </c>
      <c r="BU36" s="5">
        <v>6.51</v>
      </c>
      <c r="BV36" s="5">
        <v>-2.47E-2</v>
      </c>
      <c r="BW36" s="13">
        <v>0</v>
      </c>
      <c r="BX36" s="3"/>
      <c r="BY36" s="1"/>
      <c r="BZ36" s="1"/>
      <c r="CA36" s="1"/>
      <c r="CB36" s="1"/>
      <c r="CC36" s="1"/>
      <c r="CD36" s="1"/>
      <c r="CE36" s="1"/>
      <c r="CF36" s="1"/>
      <c r="CG36" s="1"/>
      <c r="CH36" s="8" t="s">
        <v>130</v>
      </c>
      <c r="CI36" s="13">
        <v>0.33</v>
      </c>
      <c r="CJ36" s="1"/>
      <c r="CK36" s="1"/>
      <c r="CL36" s="1"/>
      <c r="CM36" s="1"/>
      <c r="CN36" s="1"/>
      <c r="CO36" s="7" t="s">
        <v>84</v>
      </c>
      <c r="CP36" s="87"/>
      <c r="CQ36" s="87"/>
      <c r="CR36" s="87"/>
      <c r="CS36" s="87"/>
      <c r="CT36" s="87"/>
      <c r="CU36" s="87"/>
    </row>
    <row r="37" spans="1:99" ht="15" x14ac:dyDescent="0.25">
      <c r="A37" s="32"/>
      <c r="B37" s="33"/>
      <c r="C37" s="33"/>
      <c r="D37" s="32"/>
      <c r="E37" s="33"/>
      <c r="F37" s="33"/>
      <c r="G37" s="33"/>
      <c r="H37" s="33"/>
      <c r="I37" s="39"/>
      <c r="J37" s="94"/>
      <c r="K37" s="32"/>
      <c r="L37" s="33"/>
      <c r="M37" s="33"/>
      <c r="N37" s="33"/>
      <c r="O37" s="39"/>
      <c r="P37" s="85"/>
      <c r="Q37" s="32"/>
      <c r="R37" s="33"/>
      <c r="S37" s="33"/>
      <c r="T37" s="33"/>
      <c r="U37" s="39"/>
      <c r="V37" s="55" t="str">
        <f t="shared" si="67"/>
        <v/>
      </c>
      <c r="W37" s="55" t="str">
        <f t="shared" si="68"/>
        <v/>
      </c>
      <c r="X37" s="56" t="str">
        <f t="shared" si="69"/>
        <v/>
      </c>
      <c r="Y37" s="7" t="str">
        <f t="shared" si="98"/>
        <v/>
      </c>
      <c r="Z37" s="34" t="str">
        <f t="shared" si="70"/>
        <v/>
      </c>
      <c r="AA37" s="87"/>
      <c r="AB37" s="70" t="str">
        <f t="shared" si="99"/>
        <v/>
      </c>
      <c r="AC37" s="69" t="str">
        <f t="shared" si="71"/>
        <v/>
      </c>
      <c r="AD37" s="34" t="str">
        <f t="shared" si="71"/>
        <v/>
      </c>
      <c r="AF37" s="82" t="e">
        <f t="shared" si="72"/>
        <v>#N/A</v>
      </c>
      <c r="AG37" s="7" t="e">
        <f t="shared" si="73"/>
        <v>#N/A</v>
      </c>
      <c r="AH37" s="7" t="e">
        <f t="shared" si="74"/>
        <v>#N/A</v>
      </c>
      <c r="AI37" s="7" t="e">
        <f t="shared" si="75"/>
        <v>#N/A</v>
      </c>
      <c r="AJ37" s="7" t="e">
        <f t="shared" si="76"/>
        <v>#N/A</v>
      </c>
      <c r="AK37" s="10" t="e">
        <f t="shared" si="77"/>
        <v>#N/A</v>
      </c>
      <c r="AL37" s="11" t="e">
        <f t="shared" si="78"/>
        <v>#N/A</v>
      </c>
      <c r="AM37" s="21">
        <f t="array" ref="AM37">INDEX(BO$5:BU$85,MATCH(1,(BO$5:BO$85=D37)*(BP$5:BP$85=J37)*(BQ$5:BQ$85=T37),0),4)</f>
        <v>0</v>
      </c>
      <c r="AN37" s="14">
        <f t="array" ref="AN37">INDEX(BO$5:BU$85,MATCH(1,(BO$5:BO$85=D37)*(BP$5:BP$85=J37)*(BQ$5:BQ$85=T37),0),5)</f>
        <v>0</v>
      </c>
      <c r="AO37" s="14">
        <f t="array" ref="AO37">INDEX(BO$5:BU$85,MATCH(1,(BO$5:BO$85=D37)*(BP$5:BP$85=J37)*(BQ$5:BQ$85=T37),0),6)</f>
        <v>0</v>
      </c>
      <c r="AP37" s="14">
        <f t="array" ref="AP37">INDEX(BO$5:BU$85,MATCH(1,(BO$5:BO$85=D37)*(BP$5:BP$85=J37)*(BQ$5:BQ$85=T37),0),7)</f>
        <v>0</v>
      </c>
      <c r="AQ37" s="14">
        <f t="array" ref="AQ37">INDEX(BO$5:BV$85,MATCH(1,(BO$5:BO$85=D37)*(BP$5:BP$85=J37)*(BQ$5:BQ$85=T37),0),8)</f>
        <v>0</v>
      </c>
      <c r="AR37" s="3">
        <f t="array" ref="AR37">INDEX(BO$5:BW$85,MATCH(1,(BO$5:BO$85=D37)*(BP$5:BP$85=J37)*(BQ$5:BQ$85=T37),0),9)</f>
        <v>0</v>
      </c>
      <c r="AS37" s="3" t="e">
        <f t="shared" si="79"/>
        <v>#VALUE!</v>
      </c>
      <c r="AT37" s="10" t="e">
        <f t="shared" si="80"/>
        <v>#VALUE!</v>
      </c>
      <c r="AU37" s="3"/>
      <c r="AV37" s="11" t="e">
        <f t="shared" si="81"/>
        <v>#VALUE!</v>
      </c>
      <c r="AW37" s="10" t="e">
        <f t="shared" si="82"/>
        <v>#N/A</v>
      </c>
      <c r="AX37" s="3" t="e">
        <f t="shared" si="83"/>
        <v>#N/A</v>
      </c>
      <c r="AY37" s="3" t="e">
        <f t="shared" si="84"/>
        <v>#N/A</v>
      </c>
      <c r="AZ37" s="3" t="e">
        <f t="shared" si="85"/>
        <v>#N/A</v>
      </c>
      <c r="BA37" s="11" t="e">
        <f t="shared" si="86"/>
        <v>#N/A</v>
      </c>
      <c r="BB37" s="10" t="e">
        <f t="shared" si="87"/>
        <v>#N/A</v>
      </c>
      <c r="BC37" s="3" t="e">
        <f t="shared" si="88"/>
        <v>#N/A</v>
      </c>
      <c r="BD37" s="10" t="e">
        <f t="shared" si="89"/>
        <v>#N/A</v>
      </c>
      <c r="BE37" s="3" t="e">
        <f t="shared" si="90"/>
        <v>#N/A</v>
      </c>
      <c r="BF37" s="3" t="e">
        <f t="shared" si="91"/>
        <v>#N/A</v>
      </c>
      <c r="BG37" s="3" t="e">
        <f t="shared" si="92"/>
        <v>#N/A</v>
      </c>
      <c r="BH37" s="3" t="e">
        <f t="shared" si="93"/>
        <v>#N/A</v>
      </c>
      <c r="BI37" s="27" t="e">
        <f t="shared" si="94"/>
        <v>#N/A</v>
      </c>
      <c r="BJ37" s="7" t="e">
        <f t="shared" si="95"/>
        <v>#N/A</v>
      </c>
      <c r="BK37" s="10" t="e">
        <f t="shared" si="96"/>
        <v>#VALUE!</v>
      </c>
      <c r="BL37" s="11" t="e">
        <f t="shared" si="97"/>
        <v>#N/A</v>
      </c>
      <c r="BO37" s="7" t="s">
        <v>168</v>
      </c>
      <c r="BP37" s="10"/>
      <c r="BQ37" s="3" t="s">
        <v>40</v>
      </c>
      <c r="BR37" s="3">
        <v>-1389.14</v>
      </c>
      <c r="BS37" s="3">
        <v>-1.1599999999999999</v>
      </c>
      <c r="BT37" s="3">
        <v>-26.5</v>
      </c>
      <c r="BU37" s="3">
        <v>0</v>
      </c>
      <c r="BV37" s="3">
        <v>0</v>
      </c>
      <c r="BW37" s="11">
        <v>18.87</v>
      </c>
      <c r="BX37" s="3"/>
      <c r="BY37" s="1" t="s">
        <v>150</v>
      </c>
      <c r="BZ37" s="67" t="s">
        <v>183</v>
      </c>
      <c r="CA37" s="59" t="s">
        <v>166</v>
      </c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7" t="s">
        <v>85</v>
      </c>
      <c r="CP37" s="87"/>
      <c r="CQ37" s="87"/>
      <c r="CR37" s="87"/>
      <c r="CS37" s="87"/>
      <c r="CT37" s="87"/>
      <c r="CU37" s="87"/>
    </row>
    <row r="38" spans="1:99" ht="15" x14ac:dyDescent="0.25">
      <c r="A38" s="32"/>
      <c r="B38" s="33"/>
      <c r="C38" s="33"/>
      <c r="D38" s="32"/>
      <c r="E38" s="33"/>
      <c r="F38" s="33"/>
      <c r="G38" s="33"/>
      <c r="H38" s="33"/>
      <c r="I38" s="39"/>
      <c r="J38" s="94"/>
      <c r="K38" s="32"/>
      <c r="L38" s="33"/>
      <c r="M38" s="33"/>
      <c r="N38" s="33"/>
      <c r="O38" s="39"/>
      <c r="P38" s="85"/>
      <c r="Q38" s="32"/>
      <c r="R38" s="33"/>
      <c r="S38" s="33"/>
      <c r="T38" s="33"/>
      <c r="U38" s="39"/>
      <c r="V38" s="55" t="str">
        <f t="shared" si="67"/>
        <v/>
      </c>
      <c r="W38" s="55" t="str">
        <f t="shared" si="68"/>
        <v/>
      </c>
      <c r="X38" s="56" t="str">
        <f t="shared" si="69"/>
        <v/>
      </c>
      <c r="Y38" s="7" t="str">
        <f t="shared" si="98"/>
        <v/>
      </c>
      <c r="Z38" s="34" t="str">
        <f t="shared" si="70"/>
        <v/>
      </c>
      <c r="AA38" s="87"/>
      <c r="AB38" s="70" t="str">
        <f t="shared" si="99"/>
        <v/>
      </c>
      <c r="AC38" s="69" t="str">
        <f t="shared" si="71"/>
        <v/>
      </c>
      <c r="AD38" s="34" t="str">
        <f t="shared" si="71"/>
        <v/>
      </c>
      <c r="AF38" s="82" t="e">
        <f t="shared" si="72"/>
        <v>#N/A</v>
      </c>
      <c r="AG38" s="7" t="e">
        <f t="shared" si="73"/>
        <v>#N/A</v>
      </c>
      <c r="AH38" s="7" t="e">
        <f t="shared" si="74"/>
        <v>#N/A</v>
      </c>
      <c r="AI38" s="7" t="e">
        <f t="shared" si="75"/>
        <v>#N/A</v>
      </c>
      <c r="AJ38" s="7" t="e">
        <f t="shared" si="76"/>
        <v>#N/A</v>
      </c>
      <c r="AK38" s="10" t="e">
        <f t="shared" si="77"/>
        <v>#N/A</v>
      </c>
      <c r="AL38" s="11" t="e">
        <f t="shared" si="78"/>
        <v>#N/A</v>
      </c>
      <c r="AM38" s="21">
        <f t="array" ref="AM38">INDEX(BO$5:BU$85,MATCH(1,(BO$5:BO$85=D38)*(BP$5:BP$85=J38)*(BQ$5:BQ$85=T38),0),4)</f>
        <v>0</v>
      </c>
      <c r="AN38" s="14">
        <f t="array" ref="AN38">INDEX(BO$5:BU$85,MATCH(1,(BO$5:BO$85=D38)*(BP$5:BP$85=J38)*(BQ$5:BQ$85=T38),0),5)</f>
        <v>0</v>
      </c>
      <c r="AO38" s="14">
        <f t="array" ref="AO38">INDEX(BO$5:BU$85,MATCH(1,(BO$5:BO$85=D38)*(BP$5:BP$85=J38)*(BQ$5:BQ$85=T38),0),6)</f>
        <v>0</v>
      </c>
      <c r="AP38" s="14">
        <f t="array" ref="AP38">INDEX(BO$5:BU$85,MATCH(1,(BO$5:BO$85=D38)*(BP$5:BP$85=J38)*(BQ$5:BQ$85=T38),0),7)</f>
        <v>0</v>
      </c>
      <c r="AQ38" s="14">
        <f t="array" ref="AQ38">INDEX(BO$5:BV$85,MATCH(1,(BO$5:BO$85=D38)*(BP$5:BP$85=J38)*(BQ$5:BQ$85=T38),0),8)</f>
        <v>0</v>
      </c>
      <c r="AR38" s="3">
        <f t="array" ref="AR38">INDEX(BO$5:BW$85,MATCH(1,(BO$5:BO$85=D38)*(BP$5:BP$85=J38)*(BQ$5:BQ$85=T38),0),9)</f>
        <v>0</v>
      </c>
      <c r="AS38" s="3" t="e">
        <f t="shared" si="79"/>
        <v>#VALUE!</v>
      </c>
      <c r="AT38" s="10" t="e">
        <f t="shared" si="80"/>
        <v>#VALUE!</v>
      </c>
      <c r="AU38" s="3"/>
      <c r="AV38" s="11" t="e">
        <f t="shared" si="81"/>
        <v>#VALUE!</v>
      </c>
      <c r="AW38" s="10" t="e">
        <f t="shared" si="82"/>
        <v>#N/A</v>
      </c>
      <c r="AX38" s="3" t="e">
        <f t="shared" si="83"/>
        <v>#N/A</v>
      </c>
      <c r="AY38" s="3" t="e">
        <f t="shared" si="84"/>
        <v>#N/A</v>
      </c>
      <c r="AZ38" s="3" t="e">
        <f t="shared" si="85"/>
        <v>#N/A</v>
      </c>
      <c r="BA38" s="11" t="e">
        <f t="shared" si="86"/>
        <v>#N/A</v>
      </c>
      <c r="BB38" s="10" t="e">
        <f t="shared" si="87"/>
        <v>#N/A</v>
      </c>
      <c r="BC38" s="3" t="e">
        <f t="shared" si="88"/>
        <v>#N/A</v>
      </c>
      <c r="BD38" s="10" t="e">
        <f t="shared" si="89"/>
        <v>#N/A</v>
      </c>
      <c r="BE38" s="3" t="e">
        <f t="shared" si="90"/>
        <v>#N/A</v>
      </c>
      <c r="BF38" s="3" t="e">
        <f t="shared" si="91"/>
        <v>#N/A</v>
      </c>
      <c r="BG38" s="3" t="e">
        <f t="shared" si="92"/>
        <v>#N/A</v>
      </c>
      <c r="BH38" s="3" t="e">
        <f t="shared" si="93"/>
        <v>#N/A</v>
      </c>
      <c r="BI38" s="27" t="e">
        <f t="shared" si="94"/>
        <v>#N/A</v>
      </c>
      <c r="BJ38" s="7" t="e">
        <f t="shared" si="95"/>
        <v>#N/A</v>
      </c>
      <c r="BK38" s="10" t="e">
        <f t="shared" si="96"/>
        <v>#VALUE!</v>
      </c>
      <c r="BL38" s="11" t="e">
        <f t="shared" si="97"/>
        <v>#N/A</v>
      </c>
      <c r="BO38" s="7"/>
      <c r="BP38" s="10"/>
      <c r="BQ38" s="3"/>
      <c r="BR38" s="3"/>
      <c r="BS38" s="3"/>
      <c r="BT38" s="3"/>
      <c r="BU38" s="3"/>
      <c r="BV38" s="3"/>
      <c r="BW38" s="11"/>
      <c r="BX38" s="3"/>
      <c r="BY38" s="6" t="s">
        <v>144</v>
      </c>
      <c r="BZ38" s="9">
        <v>4.5</v>
      </c>
      <c r="CA38" s="6">
        <v>4.5</v>
      </c>
      <c r="CB38" s="1"/>
      <c r="CC38" s="1"/>
      <c r="CD38" s="1"/>
      <c r="CE38" s="1"/>
      <c r="CF38" s="1"/>
      <c r="CG38" s="1"/>
      <c r="CH38" s="1" t="s">
        <v>149</v>
      </c>
      <c r="CI38" s="1" t="s">
        <v>153</v>
      </c>
      <c r="CJ38" s="1" t="s">
        <v>152</v>
      </c>
      <c r="CK38" s="1"/>
      <c r="CL38" s="1"/>
      <c r="CM38" s="1"/>
      <c r="CN38" s="1"/>
      <c r="CO38" s="7" t="s">
        <v>87</v>
      </c>
      <c r="CP38" s="87"/>
      <c r="CQ38" s="87"/>
      <c r="CR38" s="87"/>
      <c r="CS38" s="87"/>
      <c r="CT38" s="87"/>
      <c r="CU38" s="87"/>
    </row>
    <row r="39" spans="1:99" ht="15" x14ac:dyDescent="0.25">
      <c r="A39" s="32"/>
      <c r="B39" s="33"/>
      <c r="C39" s="33"/>
      <c r="D39" s="32"/>
      <c r="E39" s="33"/>
      <c r="F39" s="33"/>
      <c r="G39" s="33"/>
      <c r="H39" s="33"/>
      <c r="I39" s="39"/>
      <c r="J39" s="94"/>
      <c r="K39" s="32"/>
      <c r="L39" s="33"/>
      <c r="M39" s="33"/>
      <c r="N39" s="33"/>
      <c r="O39" s="39"/>
      <c r="P39" s="85"/>
      <c r="Q39" s="32"/>
      <c r="R39" s="33"/>
      <c r="S39" s="33"/>
      <c r="T39" s="33"/>
      <c r="U39" s="39"/>
      <c r="V39" s="55" t="str">
        <f t="shared" si="67"/>
        <v/>
      </c>
      <c r="W39" s="55" t="str">
        <f t="shared" si="68"/>
        <v/>
      </c>
      <c r="X39" s="56" t="str">
        <f t="shared" si="69"/>
        <v/>
      </c>
      <c r="Y39" s="7" t="str">
        <f t="shared" si="98"/>
        <v/>
      </c>
      <c r="Z39" s="34" t="str">
        <f t="shared" si="70"/>
        <v/>
      </c>
      <c r="AA39" s="87"/>
      <c r="AB39" s="70" t="str">
        <f t="shared" si="99"/>
        <v/>
      </c>
      <c r="AC39" s="69" t="str">
        <f t="shared" si="71"/>
        <v/>
      </c>
      <c r="AD39" s="34" t="str">
        <f t="shared" si="71"/>
        <v/>
      </c>
      <c r="AF39" s="82" t="e">
        <f t="shared" si="72"/>
        <v>#N/A</v>
      </c>
      <c r="AG39" s="7" t="e">
        <f t="shared" si="73"/>
        <v>#N/A</v>
      </c>
      <c r="AH39" s="7" t="e">
        <f t="shared" si="74"/>
        <v>#N/A</v>
      </c>
      <c r="AI39" s="7" t="e">
        <f t="shared" si="75"/>
        <v>#N/A</v>
      </c>
      <c r="AJ39" s="7" t="e">
        <f t="shared" si="76"/>
        <v>#N/A</v>
      </c>
      <c r="AK39" s="10" t="e">
        <f t="shared" si="77"/>
        <v>#N/A</v>
      </c>
      <c r="AL39" s="11" t="e">
        <f t="shared" si="78"/>
        <v>#N/A</v>
      </c>
      <c r="AM39" s="21">
        <f t="array" ref="AM39">INDEX(BO$5:BU$85,MATCH(1,(BO$5:BO$85=D39)*(BP$5:BP$85=J39)*(BQ$5:BQ$85=T39),0),4)</f>
        <v>0</v>
      </c>
      <c r="AN39" s="14">
        <f t="array" ref="AN39">INDEX(BO$5:BU$85,MATCH(1,(BO$5:BO$85=D39)*(BP$5:BP$85=J39)*(BQ$5:BQ$85=T39),0),5)</f>
        <v>0</v>
      </c>
      <c r="AO39" s="14">
        <f t="array" ref="AO39">INDEX(BO$5:BU$85,MATCH(1,(BO$5:BO$85=D39)*(BP$5:BP$85=J39)*(BQ$5:BQ$85=T39),0),6)</f>
        <v>0</v>
      </c>
      <c r="AP39" s="14">
        <f t="array" ref="AP39">INDEX(BO$5:BU$85,MATCH(1,(BO$5:BO$85=D39)*(BP$5:BP$85=J39)*(BQ$5:BQ$85=T39),0),7)</f>
        <v>0</v>
      </c>
      <c r="AQ39" s="14">
        <f t="array" ref="AQ39">INDEX(BO$5:BV$85,MATCH(1,(BO$5:BO$85=D39)*(BP$5:BP$85=J39)*(BQ$5:BQ$85=T39),0),8)</f>
        <v>0</v>
      </c>
      <c r="AR39" s="3">
        <f t="array" ref="AR39">INDEX(BO$5:BW$85,MATCH(1,(BO$5:BO$85=D39)*(BP$5:BP$85=J39)*(BQ$5:BQ$85=T39),0),9)</f>
        <v>0</v>
      </c>
      <c r="AS39" s="3" t="e">
        <f t="shared" si="79"/>
        <v>#VALUE!</v>
      </c>
      <c r="AT39" s="10" t="e">
        <f t="shared" si="80"/>
        <v>#VALUE!</v>
      </c>
      <c r="AU39" s="3"/>
      <c r="AV39" s="11" t="e">
        <f t="shared" si="81"/>
        <v>#VALUE!</v>
      </c>
      <c r="AW39" s="10" t="e">
        <f t="shared" si="82"/>
        <v>#N/A</v>
      </c>
      <c r="AX39" s="3" t="e">
        <f t="shared" si="83"/>
        <v>#N/A</v>
      </c>
      <c r="AY39" s="3" t="e">
        <f t="shared" si="84"/>
        <v>#N/A</v>
      </c>
      <c r="AZ39" s="3" t="e">
        <f t="shared" si="85"/>
        <v>#N/A</v>
      </c>
      <c r="BA39" s="11" t="e">
        <f t="shared" si="86"/>
        <v>#N/A</v>
      </c>
      <c r="BB39" s="10" t="e">
        <f t="shared" si="87"/>
        <v>#N/A</v>
      </c>
      <c r="BC39" s="3" t="e">
        <f t="shared" si="88"/>
        <v>#N/A</v>
      </c>
      <c r="BD39" s="10" t="e">
        <f t="shared" si="89"/>
        <v>#N/A</v>
      </c>
      <c r="BE39" s="3" t="e">
        <f t="shared" si="90"/>
        <v>#N/A</v>
      </c>
      <c r="BF39" s="3" t="e">
        <f t="shared" si="91"/>
        <v>#N/A</v>
      </c>
      <c r="BG39" s="3" t="e">
        <f t="shared" si="92"/>
        <v>#N/A</v>
      </c>
      <c r="BH39" s="3" t="e">
        <f t="shared" si="93"/>
        <v>#N/A</v>
      </c>
      <c r="BI39" s="27" t="e">
        <f t="shared" si="94"/>
        <v>#N/A</v>
      </c>
      <c r="BJ39" s="7" t="e">
        <f t="shared" si="95"/>
        <v>#N/A</v>
      </c>
      <c r="BK39" s="10" t="e">
        <f t="shared" si="96"/>
        <v>#VALUE!</v>
      </c>
      <c r="BL39" s="11" t="e">
        <f t="shared" si="97"/>
        <v>#N/A</v>
      </c>
      <c r="BO39" s="7" t="s">
        <v>168</v>
      </c>
      <c r="BP39" s="10"/>
      <c r="BQ39" s="3" t="s">
        <v>45</v>
      </c>
      <c r="BR39" s="3">
        <v>-1389.14</v>
      </c>
      <c r="BS39" s="3">
        <v>-1.1599999999999999</v>
      </c>
      <c r="BT39" s="3">
        <v>-26.5</v>
      </c>
      <c r="BU39" s="3">
        <v>0</v>
      </c>
      <c r="BV39" s="3">
        <v>0</v>
      </c>
      <c r="BW39" s="11">
        <v>18.87</v>
      </c>
      <c r="BX39" s="3"/>
      <c r="BY39" s="7" t="s">
        <v>145</v>
      </c>
      <c r="BZ39" s="11">
        <v>5.5</v>
      </c>
      <c r="CA39" s="7">
        <v>6</v>
      </c>
      <c r="CB39" s="1"/>
      <c r="CC39" s="1"/>
      <c r="CD39" s="1"/>
      <c r="CE39" s="1"/>
      <c r="CF39" s="1"/>
      <c r="CG39" s="1"/>
      <c r="CH39" s="6" t="s">
        <v>144</v>
      </c>
      <c r="CI39" s="23">
        <v>175</v>
      </c>
      <c r="CJ39" s="9">
        <v>250</v>
      </c>
      <c r="CK39" s="1"/>
      <c r="CL39" s="1"/>
      <c r="CM39" s="1"/>
      <c r="CN39" s="1"/>
      <c r="CO39" s="7" t="s">
        <v>90</v>
      </c>
      <c r="CP39" s="87"/>
      <c r="CQ39" s="87"/>
      <c r="CR39" s="87"/>
      <c r="CS39" s="87"/>
      <c r="CT39" s="87"/>
      <c r="CU39" s="87"/>
    </row>
    <row r="40" spans="1:99" ht="15" x14ac:dyDescent="0.25">
      <c r="A40" s="32"/>
      <c r="B40" s="33"/>
      <c r="C40" s="33"/>
      <c r="D40" s="32"/>
      <c r="E40" s="33"/>
      <c r="F40" s="33"/>
      <c r="G40" s="33"/>
      <c r="H40" s="33"/>
      <c r="I40" s="39"/>
      <c r="J40" s="94"/>
      <c r="K40" s="32"/>
      <c r="L40" s="33"/>
      <c r="M40" s="33"/>
      <c r="N40" s="33"/>
      <c r="O40" s="39"/>
      <c r="P40" s="85"/>
      <c r="Q40" s="32"/>
      <c r="R40" s="33"/>
      <c r="S40" s="33"/>
      <c r="T40" s="33"/>
      <c r="U40" s="39"/>
      <c r="V40" s="55" t="str">
        <f t="shared" si="67"/>
        <v/>
      </c>
      <c r="W40" s="55" t="str">
        <f t="shared" si="68"/>
        <v/>
      </c>
      <c r="X40" s="56" t="str">
        <f t="shared" si="69"/>
        <v/>
      </c>
      <c r="Y40" s="7" t="str">
        <f t="shared" si="98"/>
        <v/>
      </c>
      <c r="Z40" s="34" t="str">
        <f t="shared" si="70"/>
        <v/>
      </c>
      <c r="AA40" s="87"/>
      <c r="AB40" s="70" t="str">
        <f t="shared" si="99"/>
        <v/>
      </c>
      <c r="AC40" s="69" t="str">
        <f t="shared" si="71"/>
        <v/>
      </c>
      <c r="AD40" s="34" t="str">
        <f t="shared" si="71"/>
        <v/>
      </c>
      <c r="AF40" s="82" t="e">
        <f t="shared" si="72"/>
        <v>#N/A</v>
      </c>
      <c r="AG40" s="7" t="e">
        <f t="shared" si="73"/>
        <v>#N/A</v>
      </c>
      <c r="AH40" s="7" t="e">
        <f t="shared" si="74"/>
        <v>#N/A</v>
      </c>
      <c r="AI40" s="7" t="e">
        <f t="shared" si="75"/>
        <v>#N/A</v>
      </c>
      <c r="AJ40" s="7" t="e">
        <f t="shared" si="76"/>
        <v>#N/A</v>
      </c>
      <c r="AK40" s="10" t="e">
        <f t="shared" si="77"/>
        <v>#N/A</v>
      </c>
      <c r="AL40" s="11" t="e">
        <f t="shared" si="78"/>
        <v>#N/A</v>
      </c>
      <c r="AM40" s="21">
        <f t="array" ref="AM40">INDEX(BO$5:BU$85,MATCH(1,(BO$5:BO$85=D40)*(BP$5:BP$85=J40)*(BQ$5:BQ$85=T40),0),4)</f>
        <v>0</v>
      </c>
      <c r="AN40" s="14">
        <f t="array" ref="AN40">INDEX(BO$5:BU$85,MATCH(1,(BO$5:BO$85=D40)*(BP$5:BP$85=J40)*(BQ$5:BQ$85=T40),0),5)</f>
        <v>0</v>
      </c>
      <c r="AO40" s="14">
        <f t="array" ref="AO40">INDEX(BO$5:BU$85,MATCH(1,(BO$5:BO$85=D40)*(BP$5:BP$85=J40)*(BQ$5:BQ$85=T40),0),6)</f>
        <v>0</v>
      </c>
      <c r="AP40" s="14">
        <f t="array" ref="AP40">INDEX(BO$5:BU$85,MATCH(1,(BO$5:BO$85=D40)*(BP$5:BP$85=J40)*(BQ$5:BQ$85=T40),0),7)</f>
        <v>0</v>
      </c>
      <c r="AQ40" s="14">
        <f t="array" ref="AQ40">INDEX(BO$5:BV$85,MATCH(1,(BO$5:BO$85=D40)*(BP$5:BP$85=J40)*(BQ$5:BQ$85=T40),0),8)</f>
        <v>0</v>
      </c>
      <c r="AR40" s="3">
        <f t="array" ref="AR40">INDEX(BO$5:BW$85,MATCH(1,(BO$5:BO$85=D40)*(BP$5:BP$85=J40)*(BQ$5:BQ$85=T40),0),9)</f>
        <v>0</v>
      </c>
      <c r="AS40" s="3" t="e">
        <f t="shared" si="79"/>
        <v>#VALUE!</v>
      </c>
      <c r="AT40" s="10" t="e">
        <f t="shared" si="80"/>
        <v>#VALUE!</v>
      </c>
      <c r="AU40" s="3"/>
      <c r="AV40" s="11" t="e">
        <f t="shared" si="81"/>
        <v>#VALUE!</v>
      </c>
      <c r="AW40" s="10" t="e">
        <f t="shared" si="82"/>
        <v>#N/A</v>
      </c>
      <c r="AX40" s="3" t="e">
        <f t="shared" si="83"/>
        <v>#N/A</v>
      </c>
      <c r="AY40" s="3" t="e">
        <f t="shared" si="84"/>
        <v>#N/A</v>
      </c>
      <c r="AZ40" s="3" t="e">
        <f t="shared" si="85"/>
        <v>#N/A</v>
      </c>
      <c r="BA40" s="11" t="e">
        <f t="shared" si="86"/>
        <v>#N/A</v>
      </c>
      <c r="BB40" s="10" t="e">
        <f t="shared" si="87"/>
        <v>#N/A</v>
      </c>
      <c r="BC40" s="3" t="e">
        <f t="shared" si="88"/>
        <v>#N/A</v>
      </c>
      <c r="BD40" s="10" t="e">
        <f t="shared" si="89"/>
        <v>#N/A</v>
      </c>
      <c r="BE40" s="3" t="e">
        <f t="shared" si="90"/>
        <v>#N/A</v>
      </c>
      <c r="BF40" s="3" t="e">
        <f t="shared" si="91"/>
        <v>#N/A</v>
      </c>
      <c r="BG40" s="3" t="e">
        <f t="shared" si="92"/>
        <v>#N/A</v>
      </c>
      <c r="BH40" s="3" t="e">
        <f t="shared" si="93"/>
        <v>#N/A</v>
      </c>
      <c r="BI40" s="27" t="e">
        <f t="shared" si="94"/>
        <v>#N/A</v>
      </c>
      <c r="BJ40" s="7" t="e">
        <f t="shared" si="95"/>
        <v>#N/A</v>
      </c>
      <c r="BK40" s="10" t="e">
        <f t="shared" si="96"/>
        <v>#VALUE!</v>
      </c>
      <c r="BL40" s="11" t="e">
        <f t="shared" si="97"/>
        <v>#N/A</v>
      </c>
      <c r="BO40" s="7" t="s">
        <v>168</v>
      </c>
      <c r="BP40" s="12"/>
      <c r="BQ40" s="5"/>
      <c r="BR40" s="3">
        <v>-1389.14</v>
      </c>
      <c r="BS40" s="3">
        <v>-1.1599999999999999</v>
      </c>
      <c r="BT40" s="3">
        <v>-26.5</v>
      </c>
      <c r="BU40" s="3">
        <v>0</v>
      </c>
      <c r="BV40" s="3">
        <v>0</v>
      </c>
      <c r="BW40" s="11">
        <v>18.87</v>
      </c>
      <c r="BX40" s="3"/>
      <c r="BY40" s="8" t="s">
        <v>146</v>
      </c>
      <c r="BZ40" s="13">
        <v>6.5</v>
      </c>
      <c r="CA40" s="8">
        <v>7.5</v>
      </c>
      <c r="CB40" s="1"/>
      <c r="CC40" s="1"/>
      <c r="CD40" s="1"/>
      <c r="CE40" s="1"/>
      <c r="CF40" s="1"/>
      <c r="CG40" s="1"/>
      <c r="CH40" s="7" t="s">
        <v>145</v>
      </c>
      <c r="CI40" s="10">
        <v>230</v>
      </c>
      <c r="CJ40" s="11">
        <v>350</v>
      </c>
      <c r="CK40" s="1"/>
      <c r="CL40" s="1"/>
      <c r="CM40" s="1"/>
      <c r="CN40" s="1"/>
      <c r="CO40" s="7" t="s">
        <v>91</v>
      </c>
      <c r="CP40" s="87"/>
      <c r="CQ40" s="87"/>
      <c r="CR40" s="87"/>
      <c r="CS40" s="87"/>
      <c r="CT40" s="87"/>
      <c r="CU40" s="87"/>
    </row>
    <row r="41" spans="1:99" ht="15" x14ac:dyDescent="0.25">
      <c r="A41" s="35"/>
      <c r="B41" s="36"/>
      <c r="C41" s="36"/>
      <c r="D41" s="35"/>
      <c r="E41" s="36"/>
      <c r="F41" s="36"/>
      <c r="G41" s="36"/>
      <c r="H41" s="36"/>
      <c r="I41" s="40"/>
      <c r="J41" s="95"/>
      <c r="K41" s="35"/>
      <c r="L41" s="36"/>
      <c r="M41" s="36"/>
      <c r="N41" s="36"/>
      <c r="O41" s="40"/>
      <c r="P41" s="86"/>
      <c r="Q41" s="35"/>
      <c r="R41" s="36"/>
      <c r="S41" s="36"/>
      <c r="T41" s="36"/>
      <c r="U41" s="40"/>
      <c r="V41" s="57" t="str">
        <f t="shared" si="67"/>
        <v/>
      </c>
      <c r="W41" s="57" t="str">
        <f t="shared" si="68"/>
        <v/>
      </c>
      <c r="X41" s="58" t="str">
        <f t="shared" si="69"/>
        <v/>
      </c>
      <c r="Y41" s="8" t="str">
        <f t="shared" si="98"/>
        <v/>
      </c>
      <c r="Z41" s="37" t="str">
        <f t="shared" si="70"/>
        <v/>
      </c>
      <c r="AA41" s="87"/>
      <c r="AB41" s="70" t="str">
        <f t="shared" si="99"/>
        <v/>
      </c>
      <c r="AC41" s="69" t="str">
        <f t="shared" si="71"/>
        <v/>
      </c>
      <c r="AD41" s="34" t="str">
        <f t="shared" si="71"/>
        <v/>
      </c>
      <c r="AF41" s="83" t="e">
        <f t="shared" si="72"/>
        <v>#N/A</v>
      </c>
      <c r="AG41" s="8" t="e">
        <f t="shared" si="73"/>
        <v>#N/A</v>
      </c>
      <c r="AH41" s="8" t="e">
        <f t="shared" si="74"/>
        <v>#N/A</v>
      </c>
      <c r="AI41" s="8" t="e">
        <f t="shared" si="75"/>
        <v>#N/A</v>
      </c>
      <c r="AJ41" s="8" t="e">
        <f t="shared" si="76"/>
        <v>#N/A</v>
      </c>
      <c r="AK41" s="12" t="e">
        <f t="shared" si="77"/>
        <v>#N/A</v>
      </c>
      <c r="AL41" s="13" t="e">
        <f t="shared" si="78"/>
        <v>#N/A</v>
      </c>
      <c r="AM41" s="22">
        <f t="array" ref="AM41">INDEX(BO$5:BU$85,MATCH(1,(BO$5:BO$85=D41)*(BP$5:BP$85=J41)*(BQ$5:BQ$85=T41),0),4)</f>
        <v>0</v>
      </c>
      <c r="AN41" s="19">
        <f t="array" ref="AN41">INDEX(BO$5:BU$85,MATCH(1,(BO$5:BO$85=D41)*(BP$5:BP$85=J41)*(BQ$5:BQ$85=T41),0),5)</f>
        <v>0</v>
      </c>
      <c r="AO41" s="19">
        <f t="array" ref="AO41">INDEX(BO$5:BU$85,MATCH(1,(BO$5:BO$85=D41)*(BP$5:BP$85=J41)*(BQ$5:BQ$85=T41),0),6)</f>
        <v>0</v>
      </c>
      <c r="AP41" s="19">
        <f t="array" ref="AP41">INDEX(BO$5:BU$85,MATCH(1,(BO$5:BO$85=D41)*(BP$5:BP$85=J41)*(BQ$5:BQ$85=T41),0),7)</f>
        <v>0</v>
      </c>
      <c r="AQ41" s="19">
        <f t="array" ref="AQ41">INDEX(BO$5:BV$85,MATCH(1,(BO$5:BO$85=D41)*(BP$5:BP$85=J41)*(BQ$5:BQ$85=T41),0),8)</f>
        <v>0</v>
      </c>
      <c r="AR41" s="5">
        <f t="array" ref="AR41">INDEX(BO$5:BW$85,MATCH(1,(BO$5:BO$85=D41)*(BP$5:BP$85=J41)*(BQ$5:BQ$85=T41),0),9)</f>
        <v>0</v>
      </c>
      <c r="AS41" s="5" t="e">
        <f t="shared" si="79"/>
        <v>#VALUE!</v>
      </c>
      <c r="AT41" s="12" t="e">
        <f t="shared" si="80"/>
        <v>#VALUE!</v>
      </c>
      <c r="AU41" s="5"/>
      <c r="AV41" s="13" t="e">
        <f t="shared" si="81"/>
        <v>#VALUE!</v>
      </c>
      <c r="AW41" s="12" t="e">
        <f t="shared" si="82"/>
        <v>#N/A</v>
      </c>
      <c r="AX41" s="5" t="e">
        <f t="shared" si="83"/>
        <v>#N/A</v>
      </c>
      <c r="AY41" s="5" t="e">
        <f t="shared" si="84"/>
        <v>#N/A</v>
      </c>
      <c r="AZ41" s="5" t="e">
        <f t="shared" si="85"/>
        <v>#N/A</v>
      </c>
      <c r="BA41" s="13" t="e">
        <f t="shared" si="86"/>
        <v>#N/A</v>
      </c>
      <c r="BB41" s="12" t="e">
        <f t="shared" si="87"/>
        <v>#N/A</v>
      </c>
      <c r="BC41" s="5" t="e">
        <f t="shared" si="88"/>
        <v>#N/A</v>
      </c>
      <c r="BD41" s="12" t="e">
        <f t="shared" si="89"/>
        <v>#N/A</v>
      </c>
      <c r="BE41" s="5" t="e">
        <f t="shared" si="90"/>
        <v>#N/A</v>
      </c>
      <c r="BF41" s="5" t="e">
        <f t="shared" si="91"/>
        <v>#N/A</v>
      </c>
      <c r="BG41" s="5" t="e">
        <f t="shared" si="92"/>
        <v>#N/A</v>
      </c>
      <c r="BH41" s="5" t="e">
        <f t="shared" si="93"/>
        <v>#N/A</v>
      </c>
      <c r="BI41" s="28" t="e">
        <f t="shared" si="94"/>
        <v>#N/A</v>
      </c>
      <c r="BJ41" s="8" t="e">
        <f t="shared" si="95"/>
        <v>#N/A</v>
      </c>
      <c r="BK41" s="12" t="e">
        <f t="shared" si="96"/>
        <v>#VALUE!</v>
      </c>
      <c r="BL41" s="13" t="e">
        <f t="shared" si="97"/>
        <v>#N/A</v>
      </c>
      <c r="BO41" s="6" t="s">
        <v>169</v>
      </c>
      <c r="BP41" s="23"/>
      <c r="BQ41" s="4" t="s">
        <v>40</v>
      </c>
      <c r="BR41" s="4">
        <v>-310.47300000000001</v>
      </c>
      <c r="BS41" s="4">
        <v>-0.51200000000000001</v>
      </c>
      <c r="BT41" s="4">
        <v>99.073999999999998</v>
      </c>
      <c r="BU41" s="4">
        <v>0</v>
      </c>
      <c r="BV41" s="4">
        <v>0</v>
      </c>
      <c r="BW41" s="9">
        <v>17.747</v>
      </c>
      <c r="BX41" s="3"/>
      <c r="BY41" s="1"/>
      <c r="BZ41" s="1"/>
      <c r="CA41" s="1"/>
      <c r="CB41" s="1"/>
      <c r="CC41" s="1"/>
      <c r="CD41" s="1"/>
      <c r="CE41" s="1"/>
      <c r="CF41" s="1"/>
      <c r="CG41" s="1"/>
      <c r="CH41" s="8" t="s">
        <v>146</v>
      </c>
      <c r="CI41" s="12">
        <v>300</v>
      </c>
      <c r="CJ41" s="13">
        <v>450</v>
      </c>
      <c r="CK41" s="1"/>
      <c r="CL41" s="1"/>
      <c r="CM41" s="1"/>
      <c r="CN41" s="1"/>
      <c r="CO41" s="7" t="s">
        <v>94</v>
      </c>
      <c r="CP41" s="87"/>
      <c r="CQ41" s="87"/>
      <c r="CR41" s="87"/>
      <c r="CS41" s="87"/>
      <c r="CT41" s="87"/>
      <c r="CU41" s="87"/>
    </row>
    <row r="42" spans="1:99" ht="15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7"/>
      <c r="AB42" s="70"/>
      <c r="AC42" s="69"/>
      <c r="AD42" s="34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O42" s="7"/>
      <c r="BP42" s="10"/>
      <c r="BQ42" s="3"/>
      <c r="BR42" s="3"/>
      <c r="BS42" s="3"/>
      <c r="BT42" s="3"/>
      <c r="BU42" s="3"/>
      <c r="BV42" s="3"/>
      <c r="BW42" s="11"/>
      <c r="BX42" s="3"/>
      <c r="BY42" s="1" t="s">
        <v>180</v>
      </c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7" t="s">
        <v>97</v>
      </c>
      <c r="CP42" s="87"/>
      <c r="CQ42" s="87"/>
      <c r="CR42" s="87"/>
      <c r="CS42" s="87"/>
      <c r="CT42" s="87"/>
      <c r="CU42" s="87"/>
    </row>
    <row r="43" spans="1:99" ht="15" x14ac:dyDescent="0.25">
      <c r="A43" s="120" t="s">
        <v>143</v>
      </c>
      <c r="B43" s="120"/>
      <c r="C43" s="120"/>
      <c r="D43" s="78" t="s">
        <v>0</v>
      </c>
      <c r="E43" s="78"/>
      <c r="F43" s="78"/>
      <c r="G43" s="78"/>
      <c r="H43" s="78"/>
      <c r="I43" s="78"/>
      <c r="J43" s="78"/>
      <c r="K43" s="79" t="s">
        <v>1</v>
      </c>
      <c r="L43" s="79"/>
      <c r="M43" s="79"/>
      <c r="N43" s="79"/>
      <c r="O43" s="79"/>
      <c r="P43" s="79"/>
      <c r="Q43" s="80" t="s">
        <v>2</v>
      </c>
      <c r="R43" s="80"/>
      <c r="S43" s="80"/>
      <c r="T43" s="80"/>
      <c r="U43" s="80"/>
      <c r="V43" s="52" t="s">
        <v>3</v>
      </c>
      <c r="W43" s="52"/>
      <c r="X43" s="52"/>
      <c r="Y43" s="52"/>
      <c r="Z43" s="52"/>
      <c r="AA43" s="87"/>
      <c r="AB43" s="71"/>
      <c r="AC43" s="72"/>
      <c r="AD43" s="73"/>
      <c r="AF43" s="2" t="s">
        <v>4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O43" s="7" t="s">
        <v>169</v>
      </c>
      <c r="BP43" s="10"/>
      <c r="BQ43" s="3" t="s">
        <v>45</v>
      </c>
      <c r="BR43" s="3">
        <v>-310.47300000000001</v>
      </c>
      <c r="BS43" s="3">
        <v>-0.51200000000000001</v>
      </c>
      <c r="BT43" s="3">
        <v>99.073999999999998</v>
      </c>
      <c r="BU43" s="3">
        <v>0</v>
      </c>
      <c r="BV43" s="3">
        <v>0</v>
      </c>
      <c r="BW43" s="11">
        <v>17.747</v>
      </c>
      <c r="BX43" s="3"/>
      <c r="BY43" s="6" t="s">
        <v>178</v>
      </c>
      <c r="BZ43" s="6">
        <v>1.72</v>
      </c>
      <c r="CA43" s="1"/>
      <c r="CB43" s="1"/>
      <c r="CC43" s="1"/>
      <c r="CD43" s="1"/>
      <c r="CE43" s="1"/>
      <c r="CF43" s="1"/>
      <c r="CG43" s="1"/>
      <c r="CH43" s="3" t="s">
        <v>158</v>
      </c>
      <c r="CI43" s="3" t="s">
        <v>159</v>
      </c>
      <c r="CJ43" s="1"/>
      <c r="CK43" s="1"/>
      <c r="CL43" s="1"/>
      <c r="CM43" s="1"/>
      <c r="CN43" s="1"/>
      <c r="CO43" s="7" t="s">
        <v>100</v>
      </c>
      <c r="CP43" s="87"/>
      <c r="CQ43" s="87"/>
      <c r="CR43" s="87"/>
      <c r="CS43" s="87"/>
      <c r="CT43" s="87"/>
      <c r="CU43" s="87"/>
    </row>
    <row r="44" spans="1:99" ht="17.25" x14ac:dyDescent="0.25">
      <c r="A44" s="50" t="s">
        <v>5</v>
      </c>
      <c r="B44" s="50" t="s">
        <v>6</v>
      </c>
      <c r="C44" s="50" t="s">
        <v>7</v>
      </c>
      <c r="D44" s="50" t="s">
        <v>8</v>
      </c>
      <c r="E44" s="50" t="s">
        <v>9</v>
      </c>
      <c r="F44" s="50" t="s">
        <v>10</v>
      </c>
      <c r="G44" s="50" t="s">
        <v>148</v>
      </c>
      <c r="H44" s="50"/>
      <c r="I44" s="50"/>
      <c r="J44" s="50"/>
      <c r="K44" s="50" t="s">
        <v>15</v>
      </c>
      <c r="L44" s="118" t="s">
        <v>181</v>
      </c>
      <c r="M44" s="119"/>
      <c r="N44" s="50" t="s">
        <v>16</v>
      </c>
      <c r="O44" s="50" t="s">
        <v>17</v>
      </c>
      <c r="P44" s="50" t="s">
        <v>158</v>
      </c>
      <c r="Q44" s="50" t="s">
        <v>19</v>
      </c>
      <c r="R44" s="50" t="s">
        <v>20</v>
      </c>
      <c r="S44" s="50" t="s">
        <v>21</v>
      </c>
      <c r="T44" s="50"/>
      <c r="U44" s="50"/>
      <c r="V44" s="50" t="s">
        <v>24</v>
      </c>
      <c r="W44" s="50" t="s">
        <v>25</v>
      </c>
      <c r="X44" s="50" t="s">
        <v>188</v>
      </c>
      <c r="Y44" s="24" t="s">
        <v>190</v>
      </c>
      <c r="Z44" s="24" t="s">
        <v>126</v>
      </c>
      <c r="AA44" s="87"/>
      <c r="AB44" s="74"/>
      <c r="AC44" s="68"/>
      <c r="AD44" s="75"/>
      <c r="AF44" s="50" t="s">
        <v>187</v>
      </c>
      <c r="AG44" s="50" t="s">
        <v>86</v>
      </c>
      <c r="AH44" s="50" t="s">
        <v>18</v>
      </c>
      <c r="AI44" s="20" t="s">
        <v>11</v>
      </c>
      <c r="AJ44" s="20" t="s">
        <v>26</v>
      </c>
      <c r="AK44" s="15" t="s">
        <v>27</v>
      </c>
      <c r="AL44" s="18" t="s">
        <v>28</v>
      </c>
      <c r="AM44" s="15" t="s">
        <v>29</v>
      </c>
      <c r="AN44" s="16" t="s">
        <v>30</v>
      </c>
      <c r="AO44" s="16" t="s">
        <v>31</v>
      </c>
      <c r="AP44" s="16" t="s">
        <v>33</v>
      </c>
      <c r="AQ44" s="16" t="s">
        <v>125</v>
      </c>
      <c r="AR44" s="17"/>
      <c r="AS44" s="16" t="s">
        <v>161</v>
      </c>
      <c r="AT44" s="26" t="s">
        <v>177</v>
      </c>
      <c r="AU44" s="17" t="s">
        <v>158</v>
      </c>
      <c r="AV44" s="18" t="s">
        <v>34</v>
      </c>
      <c r="AW44" s="15" t="s">
        <v>35</v>
      </c>
      <c r="AX44" s="16" t="s">
        <v>36</v>
      </c>
      <c r="AY44" s="16" t="s">
        <v>37</v>
      </c>
      <c r="AZ44" s="17" t="s">
        <v>123</v>
      </c>
      <c r="BA44" s="18" t="s">
        <v>38</v>
      </c>
      <c r="BB44" s="15" t="s">
        <v>167</v>
      </c>
      <c r="BC44" s="17"/>
      <c r="BD44" s="26" t="s">
        <v>132</v>
      </c>
      <c r="BE44" s="17" t="s">
        <v>133</v>
      </c>
      <c r="BF44" s="17" t="s">
        <v>134</v>
      </c>
      <c r="BG44" s="17" t="s">
        <v>135</v>
      </c>
      <c r="BH44" s="17" t="s">
        <v>137</v>
      </c>
      <c r="BI44" s="25" t="s">
        <v>136</v>
      </c>
      <c r="BJ44" s="47" t="s">
        <v>176</v>
      </c>
      <c r="BK44" s="26" t="s">
        <v>139</v>
      </c>
      <c r="BL44" s="25" t="s">
        <v>138</v>
      </c>
      <c r="BO44" s="7" t="s">
        <v>169</v>
      </c>
      <c r="BP44" s="12"/>
      <c r="BQ44" s="5"/>
      <c r="BR44" s="3">
        <v>-310.47300000000001</v>
      </c>
      <c r="BS44" s="3">
        <v>-0.51200000000000001</v>
      </c>
      <c r="BT44" s="3">
        <v>99.073999999999998</v>
      </c>
      <c r="BU44" s="3">
        <v>0</v>
      </c>
      <c r="BV44" s="3">
        <v>0</v>
      </c>
      <c r="BW44" s="11">
        <v>17.747</v>
      </c>
      <c r="BX44" s="3"/>
      <c r="BY44" s="8" t="s">
        <v>179</v>
      </c>
      <c r="BZ44" s="8">
        <v>1</v>
      </c>
      <c r="CA44" s="1"/>
      <c r="CB44" s="1"/>
      <c r="CC44" s="1"/>
      <c r="CD44" s="1"/>
      <c r="CE44" s="1"/>
      <c r="CF44" s="1"/>
      <c r="CG44" s="1"/>
      <c r="CH44" s="6" t="s">
        <v>152</v>
      </c>
      <c r="CI44" s="48">
        <v>0</v>
      </c>
      <c r="CJ44" s="1"/>
      <c r="CK44" s="1"/>
      <c r="CL44" s="1"/>
      <c r="CM44" s="1"/>
      <c r="CN44" s="1"/>
      <c r="CO44" s="7" t="s">
        <v>103</v>
      </c>
      <c r="CP44" s="87"/>
      <c r="CQ44" s="87"/>
      <c r="CR44" s="87"/>
      <c r="CS44" s="87"/>
      <c r="CT44" s="87"/>
      <c r="CU44" s="87"/>
    </row>
    <row r="45" spans="1:99" ht="15" x14ac:dyDescent="0.25">
      <c r="A45" s="29"/>
      <c r="B45" s="30"/>
      <c r="C45" s="30"/>
      <c r="D45" s="29" t="s">
        <v>183</v>
      </c>
      <c r="E45" s="30">
        <v>20</v>
      </c>
      <c r="F45" s="30"/>
      <c r="G45" s="38" t="s">
        <v>144</v>
      </c>
      <c r="H45" s="44"/>
      <c r="I45" s="44"/>
      <c r="J45" s="84"/>
      <c r="K45" s="30" t="s">
        <v>42</v>
      </c>
      <c r="L45" s="30" t="s">
        <v>179</v>
      </c>
      <c r="M45" s="30">
        <v>2.2000000000000002</v>
      </c>
      <c r="N45" s="30">
        <v>27</v>
      </c>
      <c r="O45" s="30" t="s">
        <v>43</v>
      </c>
      <c r="P45" s="38" t="s">
        <v>160</v>
      </c>
      <c r="Q45" s="29" t="s">
        <v>44</v>
      </c>
      <c r="R45" s="30"/>
      <c r="S45" s="38"/>
      <c r="T45" s="90"/>
      <c r="U45" s="84"/>
      <c r="V45" s="53">
        <f t="shared" ref="V45:V54" si="100">IFERROR(10000*(N45/100)*AH45*AJ45*AG45%,"")</f>
        <v>82.659614399999995</v>
      </c>
      <c r="W45" s="53">
        <f t="shared" ref="W45:W54" si="101">IFERROR(AV45+BA45+BC45,"")</f>
        <v>2486.7712927862781</v>
      </c>
      <c r="X45" s="54">
        <f t="shared" ref="X45:X54" si="102">IF(AND(V45&lt;&gt;"",W45&lt;&gt;""),W45/(V45*1000)*100,"")</f>
        <v>3.0084477296887542</v>
      </c>
      <c r="Y45" s="6" t="str">
        <f>IF(W45&lt;&gt;"",IF(W45&lt;BY$62,BZ$62,IF(W45&lt;BY$63,BZ$63,IF(W45&lt;BY$64,BZ$64,IF(W45&lt;BY$65,BZ$65,BZ$66)))),"")</f>
        <v>Väga kõrge, suureneb lämmastiku leostumise oht</v>
      </c>
      <c r="Z45" s="31" t="str">
        <f t="shared" ref="Z45:Z54" si="103">IFERROR(IF(BL45=1,$BZ$58,""),"")</f>
        <v/>
      </c>
      <c r="AA45" s="87"/>
      <c r="AB45" s="70">
        <f>IFERROR($E45*V45,"")</f>
        <v>1653.192288</v>
      </c>
      <c r="AC45" s="69">
        <f t="shared" ref="AC45:AD54" si="104">IFERROR($E45*W45,"")</f>
        <v>49735.42585572556</v>
      </c>
      <c r="AD45" s="34">
        <f t="shared" si="104"/>
        <v>60.168954593775084</v>
      </c>
      <c r="AF45" s="81">
        <f t="shared" ref="AF45:AF54" si="105">VLOOKUP(K45,BY$29:CB$34,4,0)</f>
        <v>0.96</v>
      </c>
      <c r="AG45" s="6">
        <f t="shared" ref="AG45:AG54" si="106">VLOOKUP(L45,$BY$43:$BZ$44,2,0)*M45</f>
        <v>2.2000000000000002</v>
      </c>
      <c r="AH45" s="23">
        <f t="shared" ref="AH45:AH54" si="107">AK45+AL45*AG45</f>
        <v>1.4803999999999999</v>
      </c>
      <c r="AI45" s="6">
        <f t="shared" ref="AI45:AI54" si="108">VLOOKUP($G45,$BY$38:$CA$40,MATCH($D45,$BY$37:$CA$37,0),0)</f>
        <v>4.5</v>
      </c>
      <c r="AJ45" s="11">
        <f t="shared" ref="AJ45:AJ54" si="109">VLOOKUP(O45,BY$47:BZ$53,2,0)</f>
        <v>0.94</v>
      </c>
      <c r="AK45" s="10">
        <f t="shared" ref="AK45:AK54" si="110">VLOOKUP(K45,BY$29:CA$34,2,0)</f>
        <v>1.63</v>
      </c>
      <c r="AL45" s="11">
        <f t="shared" ref="AL45:AL54" si="111">VLOOKUP(K45,BY$29:CA$34,3,0)</f>
        <v>-6.8000000000000005E-2</v>
      </c>
      <c r="AM45" s="21">
        <f t="array" ref="AM45">INDEX(BO$5:BU$85,MATCH(1,(BO$5:BO$85=D45)*(BP$5:BP$85=I45)*(BQ$5:BQ$85=T45),0),4)</f>
        <v>238.07900000000001</v>
      </c>
      <c r="AN45" s="14">
        <f t="array" ref="AN45">INDEX(BO$5:BU$85,MATCH(1,(BO$5:BO$85=D45)*(BP$5:BP$85=I45)*(BQ$5:BQ$85=T45),0),5)</f>
        <v>2.742</v>
      </c>
      <c r="AO45" s="14">
        <f t="array" ref="AO45">INDEX(BO$5:BU$85,MATCH(1,(BO$5:BO$85=D45)*(BP$5:BP$85=I45)*(BQ$5:BQ$85=T45),0),6)</f>
        <v>444.9563</v>
      </c>
      <c r="AP45" s="14">
        <f t="array" ref="AP45">INDEX(BO$5:BU$85,MATCH(1,(BO$5:BO$85=D45)*(BP$5:BP$85=I45)*(BQ$5:BQ$85=T45),0),7)</f>
        <v>0</v>
      </c>
      <c r="AQ45" s="14">
        <f t="array" ref="AQ45">INDEX(BO$5:BV$85,MATCH(1,(BO$5:BO$85=D45)*(BP$5:BP$85=I45)*(BQ$5:BQ$85=T45),0),8)</f>
        <v>0</v>
      </c>
      <c r="AR45" s="3"/>
      <c r="AS45" s="3">
        <f t="shared" ref="AS45:AS54" si="112">AM45+V45*AN45+AI45*AO45+AP45*U45+AQ45*U45*U45</f>
        <v>2467.0350126847998</v>
      </c>
      <c r="AT45" s="10">
        <f t="shared" ref="AT45:AT54" si="113">IF(BK45=1,BJ45,AS45)</f>
        <v>2467.0350126847998</v>
      </c>
      <c r="AU45" s="3">
        <f t="shared" ref="AU45:AU54" si="114">VLOOKUP(P45,$CH$44:$CI$45,2,0)</f>
        <v>0.05</v>
      </c>
      <c r="AV45" s="11">
        <f>(AT45+ABS(AT45*AU45))*AF45</f>
        <v>2486.7712927862781</v>
      </c>
      <c r="AW45" s="10">
        <f t="shared" ref="AW45:AW54" si="115">VLOOKUP(Q45,BY$5:CB$25,2,0)</f>
        <v>0</v>
      </c>
      <c r="AX45" s="3">
        <f t="shared" ref="AX45:AX54" si="116">VLOOKUP(Q45,BY$5:CB$25,3,0)</f>
        <v>0</v>
      </c>
      <c r="AY45" s="3">
        <f t="shared" ref="AY45:AY54" si="117">VLOOKUP(Q45,BY$5:CB$25,4,0)</f>
        <v>0</v>
      </c>
      <c r="AZ45" s="3">
        <f t="shared" ref="AZ45:AZ54" si="118">VLOOKUP(Q45,BY$5:CD$25,5,0)*120</f>
        <v>0</v>
      </c>
      <c r="BA45" s="11">
        <f t="shared" ref="BA45:BA54" si="119">(((AW45+S45*AX45+R45*AY45)*R45)+AZ45)*AF45</f>
        <v>0</v>
      </c>
      <c r="BB45" s="10">
        <f t="shared" ref="BB45:BB54" si="120">VLOOKUP($D45,$CF$15:$CG$32,2,0)</f>
        <v>1</v>
      </c>
      <c r="BC45" s="3"/>
      <c r="BD45" s="10">
        <f t="shared" ref="BD45:BD54" si="121">VLOOKUP($D45,$CF$15:$CK$32,3,0)</f>
        <v>0</v>
      </c>
      <c r="BE45" s="3">
        <f t="shared" ref="BE45:BE54" si="122">VLOOKUP($D45,$CF$15:$CK$32,4,0)</f>
        <v>0</v>
      </c>
      <c r="BF45" s="3">
        <f t="shared" ref="BF45:BF54" si="123">VLOOKUP($D45,$CF$15:$CK$32,5,0)</f>
        <v>0</v>
      </c>
      <c r="BG45" s="3">
        <f t="shared" ref="BG45:BG54" si="124">VLOOKUP($D45,$CF$15:$CK$32,6,0)</f>
        <v>0</v>
      </c>
      <c r="BH45" s="3">
        <f t="shared" ref="BH45:BH54" si="125">VLOOKUP($D45,$CF$15:$CL$32,7,0)</f>
        <v>0</v>
      </c>
      <c r="BI45" s="27">
        <f t="shared" ref="BI45:BI54" si="126">IF(AG45&gt;6,BH45,BD45*AG45*AG45*AG45+BE45*AG45*AG45+BF45*AG45+BG45)</f>
        <v>0</v>
      </c>
      <c r="BJ45" s="7">
        <f t="shared" ref="BJ45:BJ54" si="127">VLOOKUP($D45,$CF$15:$CM$32,8,0)</f>
        <v>0</v>
      </c>
      <c r="BK45" s="10" t="str">
        <f t="shared" ref="BK45:BK54" si="128">IF(AND(T45="jah",AS45&gt;BJ45,BJ45&lt;&gt;0),1,"")</f>
        <v/>
      </c>
      <c r="BL45" s="11" t="str">
        <f t="shared" ref="BL45:BL54" si="129">IF(AND(T45="ei",Q45=$BY$5,G45&gt;BI45,BI45&gt;0),1,"")</f>
        <v/>
      </c>
      <c r="BO45" s="6" t="s">
        <v>68</v>
      </c>
      <c r="BP45" s="23"/>
      <c r="BQ45" s="4" t="s">
        <v>40</v>
      </c>
      <c r="BR45" s="4">
        <v>-379.56599999999997</v>
      </c>
      <c r="BS45" s="4">
        <v>2.1869999999999998</v>
      </c>
      <c r="BT45" s="4">
        <v>77.313000000000002</v>
      </c>
      <c r="BU45" s="4">
        <v>0</v>
      </c>
      <c r="BV45" s="4">
        <v>0</v>
      </c>
      <c r="BW45" s="9">
        <v>0</v>
      </c>
      <c r="BX45" s="3"/>
      <c r="BY45" s="1"/>
      <c r="BZ45" s="1"/>
      <c r="CA45" s="1"/>
      <c r="CB45" s="1"/>
      <c r="CC45" s="1"/>
      <c r="CD45" s="1"/>
      <c r="CE45" s="1"/>
      <c r="CF45" s="1"/>
      <c r="CG45" s="1"/>
      <c r="CH45" s="8" t="s">
        <v>160</v>
      </c>
      <c r="CI45" s="49">
        <v>0.05</v>
      </c>
      <c r="CJ45" s="1"/>
      <c r="CK45" s="1"/>
      <c r="CL45" s="1"/>
      <c r="CM45" s="1"/>
      <c r="CN45" s="1"/>
      <c r="CO45" s="7" t="s">
        <v>105</v>
      </c>
      <c r="CP45" s="87"/>
      <c r="CQ45" s="87"/>
      <c r="CR45" s="87"/>
      <c r="CS45" s="87"/>
      <c r="CT45" s="87"/>
      <c r="CU45" s="87"/>
    </row>
    <row r="46" spans="1:99" ht="15" x14ac:dyDescent="0.25">
      <c r="A46" s="32"/>
      <c r="B46" s="33"/>
      <c r="C46" s="33"/>
      <c r="D46" s="32" t="s">
        <v>166</v>
      </c>
      <c r="E46" s="33">
        <v>20</v>
      </c>
      <c r="F46" s="33"/>
      <c r="G46" s="39" t="s">
        <v>145</v>
      </c>
      <c r="H46" s="45"/>
      <c r="I46" s="45"/>
      <c r="J46" s="85"/>
      <c r="K46" s="33" t="s">
        <v>42</v>
      </c>
      <c r="L46" s="33" t="s">
        <v>179</v>
      </c>
      <c r="M46" s="33">
        <v>2.2000000000000002</v>
      </c>
      <c r="N46" s="33">
        <v>27</v>
      </c>
      <c r="O46" s="33" t="s">
        <v>43</v>
      </c>
      <c r="P46" s="39" t="s">
        <v>152</v>
      </c>
      <c r="Q46" s="32" t="s">
        <v>163</v>
      </c>
      <c r="R46" s="33">
        <v>25</v>
      </c>
      <c r="S46" s="39">
        <v>15</v>
      </c>
      <c r="T46" s="91"/>
      <c r="U46" s="85"/>
      <c r="V46" s="55">
        <f t="shared" si="100"/>
        <v>82.659614399999995</v>
      </c>
      <c r="W46" s="55">
        <f t="shared" si="101"/>
        <v>3381.1190399999996</v>
      </c>
      <c r="X46" s="56">
        <f t="shared" si="102"/>
        <v>4.0904123065930973</v>
      </c>
      <c r="Y46" s="7" t="str">
        <f t="shared" ref="Y46:Y54" si="130">IF(W46&lt;&gt;"",IF(W46&lt;BY$62,BZ$62,IF(W46&lt;BY$63,BZ$63,IF(W46&lt;BY$64,BZ$64,IF(W46&lt;BY$65,BZ$65,BZ$66)))),"")</f>
        <v>Väga kõrge, suureneb lämmastiku leostumise oht</v>
      </c>
      <c r="Z46" s="34" t="str">
        <f t="shared" si="103"/>
        <v/>
      </c>
      <c r="AA46" s="87"/>
      <c r="AB46" s="70">
        <f t="shared" ref="AB46:AB54" si="131">IFERROR($E46*V46,"")</f>
        <v>1653.192288</v>
      </c>
      <c r="AC46" s="69">
        <f t="shared" si="104"/>
        <v>67622.380799999984</v>
      </c>
      <c r="AD46" s="34">
        <f t="shared" si="104"/>
        <v>81.808246131861949</v>
      </c>
      <c r="AF46" s="82">
        <f t="shared" si="105"/>
        <v>0.96</v>
      </c>
      <c r="AG46" s="7">
        <f t="shared" si="106"/>
        <v>2.2000000000000002</v>
      </c>
      <c r="AH46" s="10">
        <f t="shared" si="107"/>
        <v>1.4803999999999999</v>
      </c>
      <c r="AI46" s="7">
        <f t="shared" si="108"/>
        <v>6</v>
      </c>
      <c r="AJ46" s="11">
        <f t="shared" si="109"/>
        <v>0.94</v>
      </c>
      <c r="AK46" s="10">
        <f t="shared" si="110"/>
        <v>1.63</v>
      </c>
      <c r="AL46" s="11">
        <f t="shared" si="111"/>
        <v>-6.8000000000000005E-2</v>
      </c>
      <c r="AM46" s="21">
        <f t="array" ref="AM46">INDEX(BO$5:BU$85,MATCH(1,(BO$5:BO$85=D46)*(BP$5:BP$85=I46)*(BQ$5:BQ$85=T46),0),4)</f>
        <v>1314.039</v>
      </c>
      <c r="AN46" s="14">
        <f t="array" ref="AN46">INDEX(BO$5:BU$85,MATCH(1,(BO$5:BO$85=D46)*(BP$5:BP$85=I46)*(BQ$5:BQ$85=T46),0),5)</f>
        <v>0</v>
      </c>
      <c r="AO46" s="14">
        <f t="array" ref="AO46">INDEX(BO$5:BU$85,MATCH(1,(BO$5:BO$85=D46)*(BP$5:BP$85=I46)*(BQ$5:BQ$85=T46),0),6)</f>
        <v>284.03500000000003</v>
      </c>
      <c r="AP46" s="14">
        <f t="array" ref="AP46">INDEX(BO$5:BU$85,MATCH(1,(BO$5:BO$85=D46)*(BP$5:BP$85=I46)*(BQ$5:BQ$85=T46),0),7)</f>
        <v>0</v>
      </c>
      <c r="AQ46" s="14">
        <f t="array" ref="AQ46">INDEX(BO$5:BV$85,MATCH(1,(BO$5:BO$85=D46)*(BP$5:BP$85=I46)*(BQ$5:BQ$85=T46),0),8)</f>
        <v>0</v>
      </c>
      <c r="AR46" s="3"/>
      <c r="AS46" s="3">
        <f t="shared" si="112"/>
        <v>3018.2489999999998</v>
      </c>
      <c r="AT46" s="10">
        <f t="shared" si="113"/>
        <v>3018.2489999999998</v>
      </c>
      <c r="AU46" s="3">
        <f t="shared" si="114"/>
        <v>0</v>
      </c>
      <c r="AV46" s="11">
        <f t="shared" ref="AV46:AV54" si="132">(AT46+ABS(AT46*AU46))*AF46</f>
        <v>2897.5190399999997</v>
      </c>
      <c r="AW46" s="10">
        <f t="shared" si="115"/>
        <v>1</v>
      </c>
      <c r="AX46" s="3">
        <f t="shared" si="116"/>
        <v>1.31</v>
      </c>
      <c r="AY46" s="3">
        <f t="shared" si="117"/>
        <v>-0.02</v>
      </c>
      <c r="AZ46" s="3">
        <f t="shared" si="118"/>
        <v>0</v>
      </c>
      <c r="BA46" s="11">
        <f t="shared" si="119"/>
        <v>483.6</v>
      </c>
      <c r="BB46" s="10">
        <f t="shared" si="120"/>
        <v>1</v>
      </c>
      <c r="BC46" s="3"/>
      <c r="BD46" s="10">
        <f t="shared" si="121"/>
        <v>0</v>
      </c>
      <c r="BE46" s="3">
        <f t="shared" si="122"/>
        <v>0</v>
      </c>
      <c r="BF46" s="3">
        <f t="shared" si="123"/>
        <v>0</v>
      </c>
      <c r="BG46" s="3">
        <f t="shared" si="124"/>
        <v>0</v>
      </c>
      <c r="BH46" s="3">
        <f t="shared" si="125"/>
        <v>0</v>
      </c>
      <c r="BI46" s="27">
        <f t="shared" si="126"/>
        <v>0</v>
      </c>
      <c r="BJ46" s="7">
        <f t="shared" si="127"/>
        <v>0</v>
      </c>
      <c r="BK46" s="10" t="str">
        <f t="shared" si="128"/>
        <v/>
      </c>
      <c r="BL46" s="11" t="str">
        <f t="shared" si="129"/>
        <v/>
      </c>
      <c r="BO46" s="7"/>
      <c r="BP46" s="10"/>
      <c r="BQ46" s="3"/>
      <c r="BR46" s="3"/>
      <c r="BS46" s="3"/>
      <c r="BT46" s="3"/>
      <c r="BU46" s="3"/>
      <c r="BV46" s="3"/>
      <c r="BW46" s="11"/>
      <c r="BX46" s="3"/>
      <c r="BY46" s="1" t="s">
        <v>26</v>
      </c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7" t="s">
        <v>106</v>
      </c>
      <c r="CP46" s="87"/>
      <c r="CQ46" s="87"/>
      <c r="CR46" s="87"/>
      <c r="CS46" s="87"/>
      <c r="CT46" s="87"/>
      <c r="CU46" s="87"/>
    </row>
    <row r="47" spans="1:99" ht="15" x14ac:dyDescent="0.25">
      <c r="A47" s="32"/>
      <c r="B47" s="33"/>
      <c r="C47" s="33"/>
      <c r="D47" s="32"/>
      <c r="E47" s="33"/>
      <c r="F47" s="33"/>
      <c r="G47" s="39"/>
      <c r="H47" s="45"/>
      <c r="I47" s="45"/>
      <c r="J47" s="85"/>
      <c r="K47" s="33"/>
      <c r="L47" s="33"/>
      <c r="M47" s="33"/>
      <c r="N47" s="33"/>
      <c r="O47" s="33"/>
      <c r="P47" s="39"/>
      <c r="Q47" s="32"/>
      <c r="R47" s="33"/>
      <c r="S47" s="39"/>
      <c r="T47" s="91"/>
      <c r="U47" s="85"/>
      <c r="V47" s="55" t="str">
        <f t="shared" si="100"/>
        <v/>
      </c>
      <c r="W47" s="55" t="str">
        <f t="shared" si="101"/>
        <v/>
      </c>
      <c r="X47" s="56" t="str">
        <f t="shared" si="102"/>
        <v/>
      </c>
      <c r="Y47" s="7" t="str">
        <f t="shared" si="130"/>
        <v/>
      </c>
      <c r="Z47" s="34" t="str">
        <f t="shared" si="103"/>
        <v/>
      </c>
      <c r="AA47" s="87"/>
      <c r="AB47" s="70" t="str">
        <f t="shared" si="131"/>
        <v/>
      </c>
      <c r="AC47" s="69" t="str">
        <f t="shared" si="104"/>
        <v/>
      </c>
      <c r="AD47" s="34" t="str">
        <f t="shared" si="104"/>
        <v/>
      </c>
      <c r="AF47" s="82" t="e">
        <f t="shared" si="105"/>
        <v>#N/A</v>
      </c>
      <c r="AG47" s="7" t="e">
        <f t="shared" si="106"/>
        <v>#N/A</v>
      </c>
      <c r="AH47" s="10" t="e">
        <f t="shared" si="107"/>
        <v>#N/A</v>
      </c>
      <c r="AI47" s="7" t="e">
        <f t="shared" si="108"/>
        <v>#N/A</v>
      </c>
      <c r="AJ47" s="11" t="e">
        <f t="shared" si="109"/>
        <v>#N/A</v>
      </c>
      <c r="AK47" s="10" t="e">
        <f t="shared" si="110"/>
        <v>#N/A</v>
      </c>
      <c r="AL47" s="11" t="e">
        <f t="shared" si="111"/>
        <v>#N/A</v>
      </c>
      <c r="AM47" s="21">
        <f t="array" ref="AM47">INDEX(BO$5:BU$85,MATCH(1,(BO$5:BO$85=D47)*(BP$5:BP$85=I47)*(BQ$5:BQ$85=T47),0),4)</f>
        <v>0</v>
      </c>
      <c r="AN47" s="14">
        <f t="array" ref="AN47">INDEX(BO$5:BU$85,MATCH(1,(BO$5:BO$85=D47)*(BP$5:BP$85=I47)*(BQ$5:BQ$85=T47),0),5)</f>
        <v>0</v>
      </c>
      <c r="AO47" s="14">
        <f t="array" ref="AO47">INDEX(BO$5:BU$85,MATCH(1,(BO$5:BO$85=D47)*(BP$5:BP$85=I47)*(BQ$5:BQ$85=T47),0),6)</f>
        <v>0</v>
      </c>
      <c r="AP47" s="14">
        <f t="array" ref="AP47">INDEX(BO$5:BU$85,MATCH(1,(BO$5:BO$85=D47)*(BP$5:BP$85=I47)*(BQ$5:BQ$85=T47),0),7)</f>
        <v>0</v>
      </c>
      <c r="AQ47" s="14">
        <f t="array" ref="AQ47">INDEX(BO$5:BV$85,MATCH(1,(BO$5:BO$85=D47)*(BP$5:BP$85=I47)*(BQ$5:BQ$85=T47),0),8)</f>
        <v>0</v>
      </c>
      <c r="AR47" s="3"/>
      <c r="AS47" s="3" t="e">
        <f t="shared" si="112"/>
        <v>#VALUE!</v>
      </c>
      <c r="AT47" s="10" t="e">
        <f t="shared" si="113"/>
        <v>#VALUE!</v>
      </c>
      <c r="AU47" s="3" t="e">
        <f t="shared" si="114"/>
        <v>#N/A</v>
      </c>
      <c r="AV47" s="11" t="e">
        <f t="shared" si="132"/>
        <v>#VALUE!</v>
      </c>
      <c r="AW47" s="10" t="e">
        <f t="shared" si="115"/>
        <v>#N/A</v>
      </c>
      <c r="AX47" s="3" t="e">
        <f t="shared" si="116"/>
        <v>#N/A</v>
      </c>
      <c r="AY47" s="3" t="e">
        <f t="shared" si="117"/>
        <v>#N/A</v>
      </c>
      <c r="AZ47" s="3" t="e">
        <f t="shared" si="118"/>
        <v>#N/A</v>
      </c>
      <c r="BA47" s="11" t="e">
        <f t="shared" si="119"/>
        <v>#N/A</v>
      </c>
      <c r="BB47" s="10" t="e">
        <f t="shared" si="120"/>
        <v>#N/A</v>
      </c>
      <c r="BC47" s="3"/>
      <c r="BD47" s="10" t="e">
        <f t="shared" si="121"/>
        <v>#N/A</v>
      </c>
      <c r="BE47" s="3" t="e">
        <f t="shared" si="122"/>
        <v>#N/A</v>
      </c>
      <c r="BF47" s="3" t="e">
        <f t="shared" si="123"/>
        <v>#N/A</v>
      </c>
      <c r="BG47" s="3" t="e">
        <f t="shared" si="124"/>
        <v>#N/A</v>
      </c>
      <c r="BH47" s="3" t="e">
        <f t="shared" si="125"/>
        <v>#N/A</v>
      </c>
      <c r="BI47" s="27" t="e">
        <f t="shared" si="126"/>
        <v>#N/A</v>
      </c>
      <c r="BJ47" s="7" t="e">
        <f t="shared" si="127"/>
        <v>#N/A</v>
      </c>
      <c r="BK47" s="10" t="e">
        <f t="shared" si="128"/>
        <v>#VALUE!</v>
      </c>
      <c r="BL47" s="11" t="e">
        <f t="shared" si="129"/>
        <v>#N/A</v>
      </c>
      <c r="BO47" s="7" t="s">
        <v>68</v>
      </c>
      <c r="BP47" s="10"/>
      <c r="BQ47" s="3" t="s">
        <v>45</v>
      </c>
      <c r="BR47" s="3">
        <v>-379.56599999999997</v>
      </c>
      <c r="BS47" s="3">
        <v>2.1869999999999998</v>
      </c>
      <c r="BT47" s="3">
        <v>77.313000000000002</v>
      </c>
      <c r="BU47" s="3">
        <v>0</v>
      </c>
      <c r="BV47" s="3">
        <v>0</v>
      </c>
      <c r="BW47" s="11">
        <v>0</v>
      </c>
      <c r="BX47" s="3"/>
      <c r="BY47" s="6" t="s">
        <v>89</v>
      </c>
      <c r="BZ47" s="9">
        <v>1</v>
      </c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7" t="s">
        <v>107</v>
      </c>
      <c r="CP47" s="87"/>
      <c r="CQ47" s="87"/>
      <c r="CR47" s="87"/>
      <c r="CS47" s="87"/>
      <c r="CT47" s="87"/>
      <c r="CU47" s="87"/>
    </row>
    <row r="48" spans="1:99" ht="15" x14ac:dyDescent="0.25">
      <c r="A48" s="32"/>
      <c r="B48" s="33"/>
      <c r="C48" s="33"/>
      <c r="D48" s="32"/>
      <c r="E48" s="33"/>
      <c r="F48" s="33"/>
      <c r="G48" s="39"/>
      <c r="H48" s="45"/>
      <c r="I48" s="45"/>
      <c r="J48" s="85"/>
      <c r="K48" s="33"/>
      <c r="L48" s="33"/>
      <c r="M48" s="33"/>
      <c r="N48" s="33"/>
      <c r="O48" s="33"/>
      <c r="P48" s="39"/>
      <c r="Q48" s="32"/>
      <c r="R48" s="33"/>
      <c r="S48" s="39"/>
      <c r="T48" s="91"/>
      <c r="U48" s="85"/>
      <c r="V48" s="55" t="str">
        <f t="shared" si="100"/>
        <v/>
      </c>
      <c r="W48" s="55" t="str">
        <f t="shared" si="101"/>
        <v/>
      </c>
      <c r="X48" s="56" t="str">
        <f t="shared" si="102"/>
        <v/>
      </c>
      <c r="Y48" s="7" t="str">
        <f t="shared" si="130"/>
        <v/>
      </c>
      <c r="Z48" s="34" t="str">
        <f t="shared" si="103"/>
        <v/>
      </c>
      <c r="AA48" s="87"/>
      <c r="AB48" s="70" t="str">
        <f t="shared" si="131"/>
        <v/>
      </c>
      <c r="AC48" s="69" t="str">
        <f t="shared" si="104"/>
        <v/>
      </c>
      <c r="AD48" s="34" t="str">
        <f t="shared" si="104"/>
        <v/>
      </c>
      <c r="AF48" s="82" t="e">
        <f t="shared" si="105"/>
        <v>#N/A</v>
      </c>
      <c r="AG48" s="7" t="e">
        <f t="shared" si="106"/>
        <v>#N/A</v>
      </c>
      <c r="AH48" s="10" t="e">
        <f t="shared" si="107"/>
        <v>#N/A</v>
      </c>
      <c r="AI48" s="7" t="e">
        <f t="shared" si="108"/>
        <v>#N/A</v>
      </c>
      <c r="AJ48" s="11" t="e">
        <f t="shared" si="109"/>
        <v>#N/A</v>
      </c>
      <c r="AK48" s="10" t="e">
        <f t="shared" si="110"/>
        <v>#N/A</v>
      </c>
      <c r="AL48" s="11" t="e">
        <f t="shared" si="111"/>
        <v>#N/A</v>
      </c>
      <c r="AM48" s="21">
        <f t="array" ref="AM48">INDEX(BO$5:BU$85,MATCH(1,(BO$5:BO$85=D48)*(BP$5:BP$85=I48)*(BQ$5:BQ$85=T48),0),4)</f>
        <v>0</v>
      </c>
      <c r="AN48" s="14">
        <f t="array" ref="AN48">INDEX(BO$5:BU$85,MATCH(1,(BO$5:BO$85=D48)*(BP$5:BP$85=I48)*(BQ$5:BQ$85=T48),0),5)</f>
        <v>0</v>
      </c>
      <c r="AO48" s="14">
        <f t="array" ref="AO48">INDEX(BO$5:BU$85,MATCH(1,(BO$5:BO$85=D48)*(BP$5:BP$85=I48)*(BQ$5:BQ$85=T48),0),6)</f>
        <v>0</v>
      </c>
      <c r="AP48" s="14">
        <f t="array" ref="AP48">INDEX(BO$5:BU$85,MATCH(1,(BO$5:BO$85=D48)*(BP$5:BP$85=I48)*(BQ$5:BQ$85=T48),0),7)</f>
        <v>0</v>
      </c>
      <c r="AQ48" s="14">
        <f t="array" ref="AQ48">INDEX(BO$5:BV$85,MATCH(1,(BO$5:BO$85=D48)*(BP$5:BP$85=I48)*(BQ$5:BQ$85=T48),0),8)</f>
        <v>0</v>
      </c>
      <c r="AR48" s="3"/>
      <c r="AS48" s="3" t="e">
        <f t="shared" si="112"/>
        <v>#VALUE!</v>
      </c>
      <c r="AT48" s="10" t="e">
        <f t="shared" si="113"/>
        <v>#VALUE!</v>
      </c>
      <c r="AU48" s="3" t="e">
        <f t="shared" si="114"/>
        <v>#N/A</v>
      </c>
      <c r="AV48" s="11" t="e">
        <f t="shared" si="132"/>
        <v>#VALUE!</v>
      </c>
      <c r="AW48" s="10" t="e">
        <f t="shared" si="115"/>
        <v>#N/A</v>
      </c>
      <c r="AX48" s="3" t="e">
        <f t="shared" si="116"/>
        <v>#N/A</v>
      </c>
      <c r="AY48" s="3" t="e">
        <f t="shared" si="117"/>
        <v>#N/A</v>
      </c>
      <c r="AZ48" s="3" t="e">
        <f t="shared" si="118"/>
        <v>#N/A</v>
      </c>
      <c r="BA48" s="11" t="e">
        <f t="shared" si="119"/>
        <v>#N/A</v>
      </c>
      <c r="BB48" s="10" t="e">
        <f t="shared" si="120"/>
        <v>#N/A</v>
      </c>
      <c r="BC48" s="3"/>
      <c r="BD48" s="10" t="e">
        <f t="shared" si="121"/>
        <v>#N/A</v>
      </c>
      <c r="BE48" s="3" t="e">
        <f t="shared" si="122"/>
        <v>#N/A</v>
      </c>
      <c r="BF48" s="3" t="e">
        <f t="shared" si="123"/>
        <v>#N/A</v>
      </c>
      <c r="BG48" s="3" t="e">
        <f t="shared" si="124"/>
        <v>#N/A</v>
      </c>
      <c r="BH48" s="3" t="e">
        <f t="shared" si="125"/>
        <v>#N/A</v>
      </c>
      <c r="BI48" s="27" t="e">
        <f t="shared" si="126"/>
        <v>#N/A</v>
      </c>
      <c r="BJ48" s="7" t="e">
        <f t="shared" si="127"/>
        <v>#N/A</v>
      </c>
      <c r="BK48" s="10" t="e">
        <f t="shared" si="128"/>
        <v>#VALUE!</v>
      </c>
      <c r="BL48" s="11" t="e">
        <f t="shared" si="129"/>
        <v>#N/A</v>
      </c>
      <c r="BO48" s="7" t="s">
        <v>68</v>
      </c>
      <c r="BP48" s="12"/>
      <c r="BQ48" s="5"/>
      <c r="BR48" s="3">
        <v>-379.56599999999997</v>
      </c>
      <c r="BS48" s="3">
        <v>2.1869999999999998</v>
      </c>
      <c r="BT48" s="3">
        <v>77.313000000000002</v>
      </c>
      <c r="BU48" s="3">
        <v>0</v>
      </c>
      <c r="BV48" s="3">
        <v>0</v>
      </c>
      <c r="BW48" s="11">
        <v>0</v>
      </c>
      <c r="BX48" s="3"/>
      <c r="BY48" s="7" t="s">
        <v>43</v>
      </c>
      <c r="BZ48" s="11">
        <v>0.94</v>
      </c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7" t="s">
        <v>108</v>
      </c>
      <c r="CP48" s="87"/>
      <c r="CQ48" s="87"/>
      <c r="CR48" s="87"/>
      <c r="CS48" s="87"/>
      <c r="CT48" s="87"/>
      <c r="CU48" s="87"/>
    </row>
    <row r="49" spans="1:99" ht="15" x14ac:dyDescent="0.25">
      <c r="A49" s="32"/>
      <c r="B49" s="33"/>
      <c r="C49" s="33"/>
      <c r="D49" s="32"/>
      <c r="E49" s="33"/>
      <c r="F49" s="33"/>
      <c r="G49" s="39"/>
      <c r="H49" s="45"/>
      <c r="I49" s="45"/>
      <c r="J49" s="85"/>
      <c r="K49" s="33"/>
      <c r="L49" s="33"/>
      <c r="M49" s="33"/>
      <c r="N49" s="33"/>
      <c r="O49" s="33"/>
      <c r="P49" s="39"/>
      <c r="Q49" s="32"/>
      <c r="R49" s="33"/>
      <c r="S49" s="39"/>
      <c r="T49" s="91"/>
      <c r="U49" s="85"/>
      <c r="V49" s="55" t="str">
        <f t="shared" si="100"/>
        <v/>
      </c>
      <c r="W49" s="55" t="str">
        <f t="shared" si="101"/>
        <v/>
      </c>
      <c r="X49" s="56" t="str">
        <f t="shared" si="102"/>
        <v/>
      </c>
      <c r="Y49" s="7" t="str">
        <f t="shared" si="130"/>
        <v/>
      </c>
      <c r="Z49" s="34" t="str">
        <f t="shared" si="103"/>
        <v/>
      </c>
      <c r="AA49" s="87"/>
      <c r="AB49" s="70" t="str">
        <f t="shared" si="131"/>
        <v/>
      </c>
      <c r="AC49" s="69" t="str">
        <f t="shared" si="104"/>
        <v/>
      </c>
      <c r="AD49" s="34" t="str">
        <f t="shared" si="104"/>
        <v/>
      </c>
      <c r="AF49" s="82" t="e">
        <f t="shared" si="105"/>
        <v>#N/A</v>
      </c>
      <c r="AG49" s="7" t="e">
        <f t="shared" si="106"/>
        <v>#N/A</v>
      </c>
      <c r="AH49" s="10" t="e">
        <f t="shared" si="107"/>
        <v>#N/A</v>
      </c>
      <c r="AI49" s="7" t="e">
        <f t="shared" si="108"/>
        <v>#N/A</v>
      </c>
      <c r="AJ49" s="11" t="e">
        <f t="shared" si="109"/>
        <v>#N/A</v>
      </c>
      <c r="AK49" s="10" t="e">
        <f t="shared" si="110"/>
        <v>#N/A</v>
      </c>
      <c r="AL49" s="11" t="e">
        <f t="shared" si="111"/>
        <v>#N/A</v>
      </c>
      <c r="AM49" s="21">
        <f t="array" ref="AM49">INDEX(BO$5:BU$85,MATCH(1,(BO$5:BO$85=D49)*(BP$5:BP$85=I49)*(BQ$5:BQ$85=T49),0),4)</f>
        <v>0</v>
      </c>
      <c r="AN49" s="14">
        <f t="array" ref="AN49">INDEX(BO$5:BU$85,MATCH(1,(BO$5:BO$85=D49)*(BP$5:BP$85=I49)*(BQ$5:BQ$85=T49),0),5)</f>
        <v>0</v>
      </c>
      <c r="AO49" s="14">
        <f t="array" ref="AO49">INDEX(BO$5:BU$85,MATCH(1,(BO$5:BO$85=D49)*(BP$5:BP$85=I49)*(BQ$5:BQ$85=T49),0),6)</f>
        <v>0</v>
      </c>
      <c r="AP49" s="14">
        <f t="array" ref="AP49">INDEX(BO$5:BU$85,MATCH(1,(BO$5:BO$85=D49)*(BP$5:BP$85=I49)*(BQ$5:BQ$85=T49),0),7)</f>
        <v>0</v>
      </c>
      <c r="AQ49" s="14">
        <f t="array" ref="AQ49">INDEX(BO$5:BV$85,MATCH(1,(BO$5:BO$85=D49)*(BP$5:BP$85=I49)*(BQ$5:BQ$85=T49),0),8)</f>
        <v>0</v>
      </c>
      <c r="AR49" s="3"/>
      <c r="AS49" s="3" t="e">
        <f t="shared" si="112"/>
        <v>#VALUE!</v>
      </c>
      <c r="AT49" s="10" t="e">
        <f t="shared" si="113"/>
        <v>#VALUE!</v>
      </c>
      <c r="AU49" s="3" t="e">
        <f t="shared" si="114"/>
        <v>#N/A</v>
      </c>
      <c r="AV49" s="11" t="e">
        <f t="shared" si="132"/>
        <v>#VALUE!</v>
      </c>
      <c r="AW49" s="10" t="e">
        <f t="shared" si="115"/>
        <v>#N/A</v>
      </c>
      <c r="AX49" s="3" t="e">
        <f t="shared" si="116"/>
        <v>#N/A</v>
      </c>
      <c r="AY49" s="3" t="e">
        <f t="shared" si="117"/>
        <v>#N/A</v>
      </c>
      <c r="AZ49" s="3" t="e">
        <f t="shared" si="118"/>
        <v>#N/A</v>
      </c>
      <c r="BA49" s="11" t="e">
        <f t="shared" si="119"/>
        <v>#N/A</v>
      </c>
      <c r="BB49" s="10" t="e">
        <f t="shared" si="120"/>
        <v>#N/A</v>
      </c>
      <c r="BC49" s="3"/>
      <c r="BD49" s="10" t="e">
        <f t="shared" si="121"/>
        <v>#N/A</v>
      </c>
      <c r="BE49" s="3" t="e">
        <f t="shared" si="122"/>
        <v>#N/A</v>
      </c>
      <c r="BF49" s="3" t="e">
        <f t="shared" si="123"/>
        <v>#N/A</v>
      </c>
      <c r="BG49" s="3" t="e">
        <f t="shared" si="124"/>
        <v>#N/A</v>
      </c>
      <c r="BH49" s="3" t="e">
        <f t="shared" si="125"/>
        <v>#N/A</v>
      </c>
      <c r="BI49" s="27" t="e">
        <f t="shared" si="126"/>
        <v>#N/A</v>
      </c>
      <c r="BJ49" s="7" t="e">
        <f t="shared" si="127"/>
        <v>#N/A</v>
      </c>
      <c r="BK49" s="10" t="e">
        <f t="shared" si="128"/>
        <v>#VALUE!</v>
      </c>
      <c r="BL49" s="11" t="e">
        <f t="shared" si="129"/>
        <v>#N/A</v>
      </c>
      <c r="BO49" s="6" t="s">
        <v>70</v>
      </c>
      <c r="BP49" s="23"/>
      <c r="BQ49" s="4" t="s">
        <v>40</v>
      </c>
      <c r="BR49" s="4">
        <v>-379.56599999999997</v>
      </c>
      <c r="BS49" s="4">
        <v>2.1869999999999998</v>
      </c>
      <c r="BT49" s="4">
        <v>370.6</v>
      </c>
      <c r="BU49" s="4">
        <v>0</v>
      </c>
      <c r="BV49" s="4">
        <v>0</v>
      </c>
      <c r="BW49" s="9">
        <v>0</v>
      </c>
      <c r="BX49" s="3"/>
      <c r="BY49" s="7" t="s">
        <v>93</v>
      </c>
      <c r="BZ49" s="11">
        <v>0.85</v>
      </c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7" t="s">
        <v>109</v>
      </c>
      <c r="CP49" s="87"/>
      <c r="CQ49" s="87"/>
      <c r="CR49" s="87"/>
      <c r="CS49" s="87"/>
      <c r="CT49" s="87"/>
      <c r="CU49" s="87"/>
    </row>
    <row r="50" spans="1:99" ht="15" x14ac:dyDescent="0.25">
      <c r="A50" s="32"/>
      <c r="B50" s="33"/>
      <c r="C50" s="33"/>
      <c r="D50" s="32"/>
      <c r="E50" s="33"/>
      <c r="F50" s="33"/>
      <c r="G50" s="39"/>
      <c r="H50" s="45"/>
      <c r="I50" s="45"/>
      <c r="J50" s="85"/>
      <c r="K50" s="33"/>
      <c r="L50" s="33"/>
      <c r="M50" s="33"/>
      <c r="N50" s="33"/>
      <c r="O50" s="33"/>
      <c r="P50" s="39"/>
      <c r="Q50" s="32"/>
      <c r="R50" s="33"/>
      <c r="S50" s="39"/>
      <c r="T50" s="91"/>
      <c r="U50" s="85"/>
      <c r="V50" s="55" t="str">
        <f t="shared" si="100"/>
        <v/>
      </c>
      <c r="W50" s="55" t="str">
        <f t="shared" si="101"/>
        <v/>
      </c>
      <c r="X50" s="56" t="str">
        <f t="shared" si="102"/>
        <v/>
      </c>
      <c r="Y50" s="7" t="str">
        <f t="shared" si="130"/>
        <v/>
      </c>
      <c r="Z50" s="34" t="str">
        <f t="shared" si="103"/>
        <v/>
      </c>
      <c r="AA50" s="87"/>
      <c r="AB50" s="70" t="str">
        <f t="shared" si="131"/>
        <v/>
      </c>
      <c r="AC50" s="69" t="str">
        <f t="shared" si="104"/>
        <v/>
      </c>
      <c r="AD50" s="34" t="str">
        <f t="shared" si="104"/>
        <v/>
      </c>
      <c r="AF50" s="82" t="e">
        <f t="shared" si="105"/>
        <v>#N/A</v>
      </c>
      <c r="AG50" s="7" t="e">
        <f t="shared" si="106"/>
        <v>#N/A</v>
      </c>
      <c r="AH50" s="10" t="e">
        <f t="shared" si="107"/>
        <v>#N/A</v>
      </c>
      <c r="AI50" s="7" t="e">
        <f t="shared" si="108"/>
        <v>#N/A</v>
      </c>
      <c r="AJ50" s="11" t="e">
        <f t="shared" si="109"/>
        <v>#N/A</v>
      </c>
      <c r="AK50" s="10" t="e">
        <f t="shared" si="110"/>
        <v>#N/A</v>
      </c>
      <c r="AL50" s="11" t="e">
        <f t="shared" si="111"/>
        <v>#N/A</v>
      </c>
      <c r="AM50" s="21">
        <f t="array" ref="AM50">INDEX(BO$5:BU$85,MATCH(1,(BO$5:BO$85=D50)*(BP$5:BP$85=I50)*(BQ$5:BQ$85=T50),0),4)</f>
        <v>0</v>
      </c>
      <c r="AN50" s="14">
        <f t="array" ref="AN50">INDEX(BO$5:BU$85,MATCH(1,(BO$5:BO$85=D50)*(BP$5:BP$85=I50)*(BQ$5:BQ$85=T50),0),5)</f>
        <v>0</v>
      </c>
      <c r="AO50" s="14">
        <f t="array" ref="AO50">INDEX(BO$5:BU$85,MATCH(1,(BO$5:BO$85=D50)*(BP$5:BP$85=I50)*(BQ$5:BQ$85=T50),0),6)</f>
        <v>0</v>
      </c>
      <c r="AP50" s="14">
        <f t="array" ref="AP50">INDEX(BO$5:BU$85,MATCH(1,(BO$5:BO$85=D50)*(BP$5:BP$85=I50)*(BQ$5:BQ$85=T50),0),7)</f>
        <v>0</v>
      </c>
      <c r="AQ50" s="14">
        <f t="array" ref="AQ50">INDEX(BO$5:BV$85,MATCH(1,(BO$5:BO$85=D50)*(BP$5:BP$85=I50)*(BQ$5:BQ$85=T50),0),8)</f>
        <v>0</v>
      </c>
      <c r="AR50" s="3"/>
      <c r="AS50" s="3" t="e">
        <f t="shared" si="112"/>
        <v>#VALUE!</v>
      </c>
      <c r="AT50" s="10" t="e">
        <f t="shared" si="113"/>
        <v>#VALUE!</v>
      </c>
      <c r="AU50" s="3" t="e">
        <f t="shared" si="114"/>
        <v>#N/A</v>
      </c>
      <c r="AV50" s="11" t="e">
        <f t="shared" si="132"/>
        <v>#VALUE!</v>
      </c>
      <c r="AW50" s="10" t="e">
        <f t="shared" si="115"/>
        <v>#N/A</v>
      </c>
      <c r="AX50" s="3" t="e">
        <f t="shared" si="116"/>
        <v>#N/A</v>
      </c>
      <c r="AY50" s="3" t="e">
        <f t="shared" si="117"/>
        <v>#N/A</v>
      </c>
      <c r="AZ50" s="3" t="e">
        <f t="shared" si="118"/>
        <v>#N/A</v>
      </c>
      <c r="BA50" s="11" t="e">
        <f t="shared" si="119"/>
        <v>#N/A</v>
      </c>
      <c r="BB50" s="10" t="e">
        <f t="shared" si="120"/>
        <v>#N/A</v>
      </c>
      <c r="BC50" s="3"/>
      <c r="BD50" s="10" t="e">
        <f t="shared" si="121"/>
        <v>#N/A</v>
      </c>
      <c r="BE50" s="3" t="e">
        <f t="shared" si="122"/>
        <v>#N/A</v>
      </c>
      <c r="BF50" s="3" t="e">
        <f t="shared" si="123"/>
        <v>#N/A</v>
      </c>
      <c r="BG50" s="3" t="e">
        <f t="shared" si="124"/>
        <v>#N/A</v>
      </c>
      <c r="BH50" s="3" t="e">
        <f t="shared" si="125"/>
        <v>#N/A</v>
      </c>
      <c r="BI50" s="27" t="e">
        <f t="shared" si="126"/>
        <v>#N/A</v>
      </c>
      <c r="BJ50" s="7" t="e">
        <f t="shared" si="127"/>
        <v>#N/A</v>
      </c>
      <c r="BK50" s="10" t="e">
        <f t="shared" si="128"/>
        <v>#VALUE!</v>
      </c>
      <c r="BL50" s="11" t="e">
        <f t="shared" si="129"/>
        <v>#N/A</v>
      </c>
      <c r="BO50" s="7"/>
      <c r="BP50" s="10"/>
      <c r="BQ50" s="3"/>
      <c r="BR50" s="3"/>
      <c r="BS50" s="3"/>
      <c r="BT50" s="3"/>
      <c r="BU50" s="3"/>
      <c r="BV50" s="3"/>
      <c r="BW50" s="11"/>
      <c r="BX50" s="3"/>
      <c r="BY50" s="7" t="s">
        <v>96</v>
      </c>
      <c r="BZ50" s="11">
        <v>0.75</v>
      </c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7" t="s">
        <v>110</v>
      </c>
      <c r="CP50" s="87"/>
      <c r="CQ50" s="87"/>
      <c r="CR50" s="87"/>
      <c r="CS50" s="87"/>
      <c r="CT50" s="87"/>
      <c r="CU50" s="87"/>
    </row>
    <row r="51" spans="1:99" ht="15" x14ac:dyDescent="0.25">
      <c r="A51" s="32"/>
      <c r="B51" s="33"/>
      <c r="C51" s="33"/>
      <c r="D51" s="32"/>
      <c r="E51" s="33"/>
      <c r="F51" s="33"/>
      <c r="G51" s="39"/>
      <c r="H51" s="45"/>
      <c r="I51" s="45"/>
      <c r="J51" s="85"/>
      <c r="K51" s="33"/>
      <c r="L51" s="33"/>
      <c r="M51" s="33"/>
      <c r="N51" s="33"/>
      <c r="O51" s="33"/>
      <c r="P51" s="39"/>
      <c r="Q51" s="32"/>
      <c r="R51" s="33"/>
      <c r="S51" s="39"/>
      <c r="T51" s="91"/>
      <c r="U51" s="85"/>
      <c r="V51" s="55" t="str">
        <f t="shared" si="100"/>
        <v/>
      </c>
      <c r="W51" s="55" t="str">
        <f t="shared" si="101"/>
        <v/>
      </c>
      <c r="X51" s="56" t="str">
        <f t="shared" si="102"/>
        <v/>
      </c>
      <c r="Y51" s="7" t="str">
        <f t="shared" si="130"/>
        <v/>
      </c>
      <c r="Z51" s="34" t="str">
        <f t="shared" si="103"/>
        <v/>
      </c>
      <c r="AA51" s="87"/>
      <c r="AB51" s="70" t="str">
        <f t="shared" si="131"/>
        <v/>
      </c>
      <c r="AC51" s="69" t="str">
        <f t="shared" si="104"/>
        <v/>
      </c>
      <c r="AD51" s="34" t="str">
        <f t="shared" si="104"/>
        <v/>
      </c>
      <c r="AF51" s="82" t="e">
        <f t="shared" si="105"/>
        <v>#N/A</v>
      </c>
      <c r="AG51" s="7" t="e">
        <f t="shared" si="106"/>
        <v>#N/A</v>
      </c>
      <c r="AH51" s="10" t="e">
        <f t="shared" si="107"/>
        <v>#N/A</v>
      </c>
      <c r="AI51" s="7" t="e">
        <f t="shared" si="108"/>
        <v>#N/A</v>
      </c>
      <c r="AJ51" s="11" t="e">
        <f t="shared" si="109"/>
        <v>#N/A</v>
      </c>
      <c r="AK51" s="10" t="e">
        <f t="shared" si="110"/>
        <v>#N/A</v>
      </c>
      <c r="AL51" s="11" t="e">
        <f t="shared" si="111"/>
        <v>#N/A</v>
      </c>
      <c r="AM51" s="21">
        <f t="array" ref="AM51">INDEX(BO$5:BU$85,MATCH(1,(BO$5:BO$85=D51)*(BP$5:BP$85=I51)*(BQ$5:BQ$85=T51),0),4)</f>
        <v>0</v>
      </c>
      <c r="AN51" s="14">
        <f t="array" ref="AN51">INDEX(BO$5:BU$85,MATCH(1,(BO$5:BO$85=D51)*(BP$5:BP$85=I51)*(BQ$5:BQ$85=T51),0),5)</f>
        <v>0</v>
      </c>
      <c r="AO51" s="14">
        <f t="array" ref="AO51">INDEX(BO$5:BU$85,MATCH(1,(BO$5:BO$85=D51)*(BP$5:BP$85=I51)*(BQ$5:BQ$85=T51),0),6)</f>
        <v>0</v>
      </c>
      <c r="AP51" s="14">
        <f t="array" ref="AP51">INDEX(BO$5:BU$85,MATCH(1,(BO$5:BO$85=D51)*(BP$5:BP$85=I51)*(BQ$5:BQ$85=T51),0),7)</f>
        <v>0</v>
      </c>
      <c r="AQ51" s="14">
        <f t="array" ref="AQ51">INDEX(BO$5:BV$85,MATCH(1,(BO$5:BO$85=D51)*(BP$5:BP$85=I51)*(BQ$5:BQ$85=T51),0),8)</f>
        <v>0</v>
      </c>
      <c r="AR51" s="3"/>
      <c r="AS51" s="3" t="e">
        <f t="shared" si="112"/>
        <v>#VALUE!</v>
      </c>
      <c r="AT51" s="10" t="e">
        <f t="shared" si="113"/>
        <v>#VALUE!</v>
      </c>
      <c r="AU51" s="3" t="e">
        <f t="shared" si="114"/>
        <v>#N/A</v>
      </c>
      <c r="AV51" s="11" t="e">
        <f t="shared" si="132"/>
        <v>#VALUE!</v>
      </c>
      <c r="AW51" s="10" t="e">
        <f t="shared" si="115"/>
        <v>#N/A</v>
      </c>
      <c r="AX51" s="3" t="e">
        <f t="shared" si="116"/>
        <v>#N/A</v>
      </c>
      <c r="AY51" s="3" t="e">
        <f t="shared" si="117"/>
        <v>#N/A</v>
      </c>
      <c r="AZ51" s="3" t="e">
        <f t="shared" si="118"/>
        <v>#N/A</v>
      </c>
      <c r="BA51" s="11" t="e">
        <f t="shared" si="119"/>
        <v>#N/A</v>
      </c>
      <c r="BB51" s="10" t="e">
        <f t="shared" si="120"/>
        <v>#N/A</v>
      </c>
      <c r="BC51" s="3"/>
      <c r="BD51" s="10" t="e">
        <f t="shared" si="121"/>
        <v>#N/A</v>
      </c>
      <c r="BE51" s="3" t="e">
        <f t="shared" si="122"/>
        <v>#N/A</v>
      </c>
      <c r="BF51" s="3" t="e">
        <f t="shared" si="123"/>
        <v>#N/A</v>
      </c>
      <c r="BG51" s="3" t="e">
        <f t="shared" si="124"/>
        <v>#N/A</v>
      </c>
      <c r="BH51" s="3" t="e">
        <f t="shared" si="125"/>
        <v>#N/A</v>
      </c>
      <c r="BI51" s="27" t="e">
        <f t="shared" si="126"/>
        <v>#N/A</v>
      </c>
      <c r="BJ51" s="7" t="e">
        <f t="shared" si="127"/>
        <v>#N/A</v>
      </c>
      <c r="BK51" s="10" t="e">
        <f t="shared" si="128"/>
        <v>#VALUE!</v>
      </c>
      <c r="BL51" s="11" t="e">
        <f t="shared" si="129"/>
        <v>#N/A</v>
      </c>
      <c r="BO51" s="7" t="s">
        <v>70</v>
      </c>
      <c r="BP51" s="10"/>
      <c r="BQ51" s="3" t="s">
        <v>45</v>
      </c>
      <c r="BR51" s="3">
        <v>-379.56599999999997</v>
      </c>
      <c r="BS51" s="3">
        <v>2.1869999999999998</v>
      </c>
      <c r="BT51" s="3">
        <v>370.6</v>
      </c>
      <c r="BU51" s="3">
        <v>0</v>
      </c>
      <c r="BV51" s="3">
        <v>0</v>
      </c>
      <c r="BW51" s="11">
        <v>0</v>
      </c>
      <c r="BX51" s="3"/>
      <c r="BY51" s="7" t="s">
        <v>99</v>
      </c>
      <c r="BZ51" s="11">
        <v>0.6</v>
      </c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7" t="s">
        <v>111</v>
      </c>
      <c r="CP51" s="87"/>
      <c r="CQ51" s="87"/>
      <c r="CR51" s="87"/>
      <c r="CS51" s="87"/>
      <c r="CT51" s="87"/>
      <c r="CU51" s="87"/>
    </row>
    <row r="52" spans="1:99" ht="15" x14ac:dyDescent="0.25">
      <c r="A52" s="32"/>
      <c r="B52" s="33"/>
      <c r="C52" s="33"/>
      <c r="D52" s="32"/>
      <c r="E52" s="33"/>
      <c r="F52" s="33"/>
      <c r="G52" s="39"/>
      <c r="H52" s="45"/>
      <c r="I52" s="45"/>
      <c r="J52" s="85"/>
      <c r="K52" s="33"/>
      <c r="L52" s="33"/>
      <c r="M52" s="33"/>
      <c r="N52" s="33"/>
      <c r="O52" s="33"/>
      <c r="P52" s="39"/>
      <c r="Q52" s="32"/>
      <c r="R52" s="33"/>
      <c r="S52" s="39"/>
      <c r="T52" s="91"/>
      <c r="U52" s="85"/>
      <c r="V52" s="55" t="str">
        <f t="shared" si="100"/>
        <v/>
      </c>
      <c r="W52" s="55" t="str">
        <f t="shared" si="101"/>
        <v/>
      </c>
      <c r="X52" s="56" t="str">
        <f t="shared" si="102"/>
        <v/>
      </c>
      <c r="Y52" s="7" t="str">
        <f t="shared" si="130"/>
        <v/>
      </c>
      <c r="Z52" s="34" t="str">
        <f t="shared" si="103"/>
        <v/>
      </c>
      <c r="AA52" s="87"/>
      <c r="AB52" s="70" t="str">
        <f t="shared" si="131"/>
        <v/>
      </c>
      <c r="AC52" s="69" t="str">
        <f t="shared" si="104"/>
        <v/>
      </c>
      <c r="AD52" s="34" t="str">
        <f t="shared" si="104"/>
        <v/>
      </c>
      <c r="AF52" s="82" t="e">
        <f t="shared" si="105"/>
        <v>#N/A</v>
      </c>
      <c r="AG52" s="7" t="e">
        <f t="shared" si="106"/>
        <v>#N/A</v>
      </c>
      <c r="AH52" s="10" t="e">
        <f t="shared" si="107"/>
        <v>#N/A</v>
      </c>
      <c r="AI52" s="7" t="e">
        <f t="shared" si="108"/>
        <v>#N/A</v>
      </c>
      <c r="AJ52" s="11" t="e">
        <f t="shared" si="109"/>
        <v>#N/A</v>
      </c>
      <c r="AK52" s="10" t="e">
        <f t="shared" si="110"/>
        <v>#N/A</v>
      </c>
      <c r="AL52" s="11" t="e">
        <f t="shared" si="111"/>
        <v>#N/A</v>
      </c>
      <c r="AM52" s="21">
        <f t="array" ref="AM52">INDEX(BO$5:BU$85,MATCH(1,(BO$5:BO$85=D52)*(BP$5:BP$85=I52)*(BQ$5:BQ$85=T52),0),4)</f>
        <v>0</v>
      </c>
      <c r="AN52" s="14">
        <f t="array" ref="AN52">INDEX(BO$5:BU$85,MATCH(1,(BO$5:BO$85=D52)*(BP$5:BP$85=I52)*(BQ$5:BQ$85=T52),0),5)</f>
        <v>0</v>
      </c>
      <c r="AO52" s="14">
        <f t="array" ref="AO52">INDEX(BO$5:BU$85,MATCH(1,(BO$5:BO$85=D52)*(BP$5:BP$85=I52)*(BQ$5:BQ$85=T52),0),6)</f>
        <v>0</v>
      </c>
      <c r="AP52" s="14">
        <f t="array" ref="AP52">INDEX(BO$5:BU$85,MATCH(1,(BO$5:BO$85=D52)*(BP$5:BP$85=I52)*(BQ$5:BQ$85=T52),0),7)</f>
        <v>0</v>
      </c>
      <c r="AQ52" s="14">
        <f t="array" ref="AQ52">INDEX(BO$5:BV$85,MATCH(1,(BO$5:BO$85=D52)*(BP$5:BP$85=I52)*(BQ$5:BQ$85=T52),0),8)</f>
        <v>0</v>
      </c>
      <c r="AR52" s="3"/>
      <c r="AS52" s="3" t="e">
        <f t="shared" si="112"/>
        <v>#VALUE!</v>
      </c>
      <c r="AT52" s="10" t="e">
        <f t="shared" si="113"/>
        <v>#VALUE!</v>
      </c>
      <c r="AU52" s="3" t="e">
        <f t="shared" si="114"/>
        <v>#N/A</v>
      </c>
      <c r="AV52" s="11" t="e">
        <f t="shared" si="132"/>
        <v>#VALUE!</v>
      </c>
      <c r="AW52" s="10" t="e">
        <f t="shared" si="115"/>
        <v>#N/A</v>
      </c>
      <c r="AX52" s="3" t="e">
        <f t="shared" si="116"/>
        <v>#N/A</v>
      </c>
      <c r="AY52" s="3" t="e">
        <f t="shared" si="117"/>
        <v>#N/A</v>
      </c>
      <c r="AZ52" s="3" t="e">
        <f t="shared" si="118"/>
        <v>#N/A</v>
      </c>
      <c r="BA52" s="11" t="e">
        <f t="shared" si="119"/>
        <v>#N/A</v>
      </c>
      <c r="BB52" s="10" t="e">
        <f t="shared" si="120"/>
        <v>#N/A</v>
      </c>
      <c r="BC52" s="3"/>
      <c r="BD52" s="10" t="e">
        <f t="shared" si="121"/>
        <v>#N/A</v>
      </c>
      <c r="BE52" s="3" t="e">
        <f t="shared" si="122"/>
        <v>#N/A</v>
      </c>
      <c r="BF52" s="3" t="e">
        <f t="shared" si="123"/>
        <v>#N/A</v>
      </c>
      <c r="BG52" s="3" t="e">
        <f t="shared" si="124"/>
        <v>#N/A</v>
      </c>
      <c r="BH52" s="3" t="e">
        <f t="shared" si="125"/>
        <v>#N/A</v>
      </c>
      <c r="BI52" s="27" t="e">
        <f t="shared" si="126"/>
        <v>#N/A</v>
      </c>
      <c r="BJ52" s="7" t="e">
        <f t="shared" si="127"/>
        <v>#N/A</v>
      </c>
      <c r="BK52" s="10" t="e">
        <f t="shared" si="128"/>
        <v>#VALUE!</v>
      </c>
      <c r="BL52" s="11" t="e">
        <f t="shared" si="129"/>
        <v>#N/A</v>
      </c>
      <c r="BO52" s="7" t="s">
        <v>70</v>
      </c>
      <c r="BP52" s="12"/>
      <c r="BQ52" s="5"/>
      <c r="BR52" s="3">
        <v>-379.56599999999997</v>
      </c>
      <c r="BS52" s="3">
        <v>2.1869999999999998</v>
      </c>
      <c r="BT52" s="3">
        <v>370.6</v>
      </c>
      <c r="BU52" s="3">
        <v>0</v>
      </c>
      <c r="BV52" s="3">
        <v>0</v>
      </c>
      <c r="BW52" s="11">
        <v>0</v>
      </c>
      <c r="BX52" s="3"/>
      <c r="BY52" s="7" t="s">
        <v>102</v>
      </c>
      <c r="BZ52" s="11">
        <v>0.4</v>
      </c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7" t="s">
        <v>112</v>
      </c>
      <c r="CP52" s="87"/>
      <c r="CQ52" s="87"/>
      <c r="CR52" s="87"/>
      <c r="CS52" s="87"/>
      <c r="CT52" s="87"/>
      <c r="CU52" s="87"/>
    </row>
    <row r="53" spans="1:99" ht="15" x14ac:dyDescent="0.25">
      <c r="A53" s="32"/>
      <c r="B53" s="33"/>
      <c r="C53" s="33"/>
      <c r="D53" s="32"/>
      <c r="E53" s="33"/>
      <c r="F53" s="33"/>
      <c r="G53" s="39"/>
      <c r="H53" s="45"/>
      <c r="I53" s="45"/>
      <c r="J53" s="85"/>
      <c r="K53" s="33"/>
      <c r="L53" s="33"/>
      <c r="M53" s="33"/>
      <c r="N53" s="33"/>
      <c r="O53" s="33"/>
      <c r="P53" s="39"/>
      <c r="Q53" s="32"/>
      <c r="R53" s="33"/>
      <c r="S53" s="39"/>
      <c r="T53" s="91"/>
      <c r="U53" s="85"/>
      <c r="V53" s="55" t="str">
        <f t="shared" si="100"/>
        <v/>
      </c>
      <c r="W53" s="55" t="str">
        <f t="shared" si="101"/>
        <v/>
      </c>
      <c r="X53" s="56" t="str">
        <f t="shared" si="102"/>
        <v/>
      </c>
      <c r="Y53" s="7" t="str">
        <f t="shared" si="130"/>
        <v/>
      </c>
      <c r="Z53" s="34" t="str">
        <f t="shared" si="103"/>
        <v/>
      </c>
      <c r="AA53" s="87"/>
      <c r="AB53" s="70" t="str">
        <f t="shared" si="131"/>
        <v/>
      </c>
      <c r="AC53" s="69" t="str">
        <f t="shared" si="104"/>
        <v/>
      </c>
      <c r="AD53" s="34" t="str">
        <f t="shared" si="104"/>
        <v/>
      </c>
      <c r="AF53" s="82" t="e">
        <f t="shared" si="105"/>
        <v>#N/A</v>
      </c>
      <c r="AG53" s="7" t="e">
        <f t="shared" si="106"/>
        <v>#N/A</v>
      </c>
      <c r="AH53" s="10" t="e">
        <f t="shared" si="107"/>
        <v>#N/A</v>
      </c>
      <c r="AI53" s="7" t="e">
        <f t="shared" si="108"/>
        <v>#N/A</v>
      </c>
      <c r="AJ53" s="11" t="e">
        <f t="shared" si="109"/>
        <v>#N/A</v>
      </c>
      <c r="AK53" s="10" t="e">
        <f t="shared" si="110"/>
        <v>#N/A</v>
      </c>
      <c r="AL53" s="11" t="e">
        <f t="shared" si="111"/>
        <v>#N/A</v>
      </c>
      <c r="AM53" s="21">
        <f t="array" ref="AM53">INDEX(BO$5:BU$85,MATCH(1,(BO$5:BO$85=D53)*(BP$5:BP$85=I53)*(BQ$5:BQ$85=T53),0),4)</f>
        <v>0</v>
      </c>
      <c r="AN53" s="14">
        <f t="array" ref="AN53">INDEX(BO$5:BU$85,MATCH(1,(BO$5:BO$85=D53)*(BP$5:BP$85=I53)*(BQ$5:BQ$85=T53),0),5)</f>
        <v>0</v>
      </c>
      <c r="AO53" s="14">
        <f t="array" ref="AO53">INDEX(BO$5:BU$85,MATCH(1,(BO$5:BO$85=D53)*(BP$5:BP$85=I53)*(BQ$5:BQ$85=T53),0),6)</f>
        <v>0</v>
      </c>
      <c r="AP53" s="14">
        <f t="array" ref="AP53">INDEX(BO$5:BU$85,MATCH(1,(BO$5:BO$85=D53)*(BP$5:BP$85=I53)*(BQ$5:BQ$85=T53),0),7)</f>
        <v>0</v>
      </c>
      <c r="AQ53" s="14">
        <f t="array" ref="AQ53">INDEX(BO$5:BV$85,MATCH(1,(BO$5:BO$85=D53)*(BP$5:BP$85=I53)*(BQ$5:BQ$85=T53),0),8)</f>
        <v>0</v>
      </c>
      <c r="AR53" s="3"/>
      <c r="AS53" s="3" t="e">
        <f t="shared" si="112"/>
        <v>#VALUE!</v>
      </c>
      <c r="AT53" s="10" t="e">
        <f t="shared" si="113"/>
        <v>#VALUE!</v>
      </c>
      <c r="AU53" s="3" t="e">
        <f t="shared" si="114"/>
        <v>#N/A</v>
      </c>
      <c r="AV53" s="11" t="e">
        <f t="shared" si="132"/>
        <v>#VALUE!</v>
      </c>
      <c r="AW53" s="10" t="e">
        <f t="shared" si="115"/>
        <v>#N/A</v>
      </c>
      <c r="AX53" s="3" t="e">
        <f t="shared" si="116"/>
        <v>#N/A</v>
      </c>
      <c r="AY53" s="3" t="e">
        <f t="shared" si="117"/>
        <v>#N/A</v>
      </c>
      <c r="AZ53" s="3" t="e">
        <f t="shared" si="118"/>
        <v>#N/A</v>
      </c>
      <c r="BA53" s="11" t="e">
        <f t="shared" si="119"/>
        <v>#N/A</v>
      </c>
      <c r="BB53" s="10" t="e">
        <f t="shared" si="120"/>
        <v>#N/A</v>
      </c>
      <c r="BC53" s="3"/>
      <c r="BD53" s="10" t="e">
        <f t="shared" si="121"/>
        <v>#N/A</v>
      </c>
      <c r="BE53" s="3" t="e">
        <f t="shared" si="122"/>
        <v>#N/A</v>
      </c>
      <c r="BF53" s="3" t="e">
        <f t="shared" si="123"/>
        <v>#N/A</v>
      </c>
      <c r="BG53" s="3" t="e">
        <f t="shared" si="124"/>
        <v>#N/A</v>
      </c>
      <c r="BH53" s="3" t="e">
        <f t="shared" si="125"/>
        <v>#N/A</v>
      </c>
      <c r="BI53" s="27" t="e">
        <f t="shared" si="126"/>
        <v>#N/A</v>
      </c>
      <c r="BJ53" s="7" t="e">
        <f t="shared" si="127"/>
        <v>#N/A</v>
      </c>
      <c r="BK53" s="10" t="e">
        <f t="shared" si="128"/>
        <v>#VALUE!</v>
      </c>
      <c r="BL53" s="11" t="e">
        <f t="shared" si="129"/>
        <v>#N/A</v>
      </c>
      <c r="BO53" s="6" t="s">
        <v>183</v>
      </c>
      <c r="BP53" s="23"/>
      <c r="BQ53" s="4"/>
      <c r="BR53" s="4">
        <v>238.07900000000001</v>
      </c>
      <c r="BS53" s="4">
        <v>2.742</v>
      </c>
      <c r="BT53" s="4">
        <v>444.9563</v>
      </c>
      <c r="BU53" s="4">
        <v>0</v>
      </c>
      <c r="BV53" s="4">
        <v>0</v>
      </c>
      <c r="BW53" s="9">
        <v>0</v>
      </c>
      <c r="BX53" s="3"/>
      <c r="BY53" s="8" t="s">
        <v>104</v>
      </c>
      <c r="BZ53" s="13">
        <v>0.3</v>
      </c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7" t="s">
        <v>113</v>
      </c>
      <c r="CP53" s="87"/>
      <c r="CQ53" s="87"/>
      <c r="CR53" s="87"/>
      <c r="CS53" s="87"/>
      <c r="CT53" s="87"/>
      <c r="CU53" s="87"/>
    </row>
    <row r="54" spans="1:99" ht="15" x14ac:dyDescent="0.25">
      <c r="A54" s="35"/>
      <c r="B54" s="36"/>
      <c r="C54" s="36"/>
      <c r="D54" s="35"/>
      <c r="E54" s="36"/>
      <c r="F54" s="36"/>
      <c r="G54" s="40"/>
      <c r="H54" s="46"/>
      <c r="I54" s="46"/>
      <c r="J54" s="86"/>
      <c r="K54" s="36"/>
      <c r="L54" s="36"/>
      <c r="M54" s="36"/>
      <c r="N54" s="36"/>
      <c r="O54" s="36"/>
      <c r="P54" s="40"/>
      <c r="Q54" s="35"/>
      <c r="R54" s="36"/>
      <c r="S54" s="40"/>
      <c r="T54" s="92"/>
      <c r="U54" s="86"/>
      <c r="V54" s="57" t="str">
        <f t="shared" si="100"/>
        <v/>
      </c>
      <c r="W54" s="57" t="str">
        <f t="shared" si="101"/>
        <v/>
      </c>
      <c r="X54" s="58" t="str">
        <f t="shared" si="102"/>
        <v/>
      </c>
      <c r="Y54" s="8" t="str">
        <f t="shared" si="130"/>
        <v/>
      </c>
      <c r="Z54" s="37" t="str">
        <f t="shared" si="103"/>
        <v/>
      </c>
      <c r="AA54" s="87"/>
      <c r="AB54" s="76" t="str">
        <f t="shared" si="131"/>
        <v/>
      </c>
      <c r="AC54" s="77" t="str">
        <f t="shared" si="104"/>
        <v/>
      </c>
      <c r="AD54" s="37" t="str">
        <f t="shared" si="104"/>
        <v/>
      </c>
      <c r="AF54" s="83" t="e">
        <f t="shared" si="105"/>
        <v>#N/A</v>
      </c>
      <c r="AG54" s="8" t="e">
        <f t="shared" si="106"/>
        <v>#N/A</v>
      </c>
      <c r="AH54" s="12" t="e">
        <f t="shared" si="107"/>
        <v>#N/A</v>
      </c>
      <c r="AI54" s="8" t="e">
        <f t="shared" si="108"/>
        <v>#N/A</v>
      </c>
      <c r="AJ54" s="13" t="e">
        <f t="shared" si="109"/>
        <v>#N/A</v>
      </c>
      <c r="AK54" s="12" t="e">
        <f t="shared" si="110"/>
        <v>#N/A</v>
      </c>
      <c r="AL54" s="13" t="e">
        <f t="shared" si="111"/>
        <v>#N/A</v>
      </c>
      <c r="AM54" s="22">
        <f t="array" ref="AM54">INDEX(BO$5:BU$85,MATCH(1,(BO$5:BO$85=D54)*(BP$5:BP$85=I54)*(BQ$5:BQ$85=T54),0),4)</f>
        <v>0</v>
      </c>
      <c r="AN54" s="19">
        <f t="array" ref="AN54">INDEX(BO$5:BU$85,MATCH(1,(BO$5:BO$85=D54)*(BP$5:BP$85=I54)*(BQ$5:BQ$85=T54),0),5)</f>
        <v>0</v>
      </c>
      <c r="AO54" s="19">
        <f t="array" ref="AO54">INDEX(BO$5:BU$85,MATCH(1,(BO$5:BO$85=D54)*(BP$5:BP$85=I54)*(BQ$5:BQ$85=T54),0),6)</f>
        <v>0</v>
      </c>
      <c r="AP54" s="19">
        <f t="array" ref="AP54">INDEX(BO$5:BU$85,MATCH(1,(BO$5:BO$85=D54)*(BP$5:BP$85=I54)*(BQ$5:BQ$85=T54),0),7)</f>
        <v>0</v>
      </c>
      <c r="AQ54" s="19">
        <f t="array" ref="AQ54">INDEX(BO$5:BV$85,MATCH(1,(BO$5:BO$85=D54)*(BP$5:BP$85=I54)*(BQ$5:BQ$85=T54),0),8)</f>
        <v>0</v>
      </c>
      <c r="AR54" s="5"/>
      <c r="AS54" s="5" t="e">
        <f t="shared" si="112"/>
        <v>#VALUE!</v>
      </c>
      <c r="AT54" s="12" t="e">
        <f t="shared" si="113"/>
        <v>#VALUE!</v>
      </c>
      <c r="AU54" s="5" t="e">
        <f t="shared" si="114"/>
        <v>#N/A</v>
      </c>
      <c r="AV54" s="13" t="e">
        <f t="shared" si="132"/>
        <v>#VALUE!</v>
      </c>
      <c r="AW54" s="12" t="e">
        <f t="shared" si="115"/>
        <v>#N/A</v>
      </c>
      <c r="AX54" s="5" t="e">
        <f t="shared" si="116"/>
        <v>#N/A</v>
      </c>
      <c r="AY54" s="5" t="e">
        <f t="shared" si="117"/>
        <v>#N/A</v>
      </c>
      <c r="AZ54" s="5" t="e">
        <f t="shared" si="118"/>
        <v>#N/A</v>
      </c>
      <c r="BA54" s="13" t="e">
        <f t="shared" si="119"/>
        <v>#N/A</v>
      </c>
      <c r="BB54" s="12" t="e">
        <f t="shared" si="120"/>
        <v>#N/A</v>
      </c>
      <c r="BC54" s="5"/>
      <c r="BD54" s="12" t="e">
        <f t="shared" si="121"/>
        <v>#N/A</v>
      </c>
      <c r="BE54" s="5" t="e">
        <f t="shared" si="122"/>
        <v>#N/A</v>
      </c>
      <c r="BF54" s="5" t="e">
        <f t="shared" si="123"/>
        <v>#N/A</v>
      </c>
      <c r="BG54" s="5" t="e">
        <f t="shared" si="124"/>
        <v>#N/A</v>
      </c>
      <c r="BH54" s="5" t="e">
        <f t="shared" si="125"/>
        <v>#N/A</v>
      </c>
      <c r="BI54" s="28" t="e">
        <f t="shared" si="126"/>
        <v>#N/A</v>
      </c>
      <c r="BJ54" s="8" t="e">
        <f t="shared" si="127"/>
        <v>#N/A</v>
      </c>
      <c r="BK54" s="12" t="e">
        <f t="shared" si="128"/>
        <v>#VALUE!</v>
      </c>
      <c r="BL54" s="13" t="e">
        <f t="shared" si="129"/>
        <v>#N/A</v>
      </c>
      <c r="BO54" s="7"/>
      <c r="BP54" s="10"/>
      <c r="BQ54" s="3"/>
      <c r="BR54" s="3"/>
      <c r="BS54" s="3"/>
      <c r="BT54" s="3"/>
      <c r="BU54" s="3"/>
      <c r="BV54" s="3"/>
      <c r="BW54" s="11"/>
      <c r="BX54" s="3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7" t="s">
        <v>114</v>
      </c>
      <c r="CP54" s="87"/>
      <c r="CQ54" s="87"/>
      <c r="CR54" s="87"/>
      <c r="CS54" s="87"/>
      <c r="CT54" s="87"/>
      <c r="CU54" s="87"/>
    </row>
    <row r="55" spans="1:99" ht="15" x14ac:dyDescent="0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7"/>
      <c r="AB55" s="1"/>
      <c r="AC55" s="1"/>
      <c r="AD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O55" s="7"/>
      <c r="BP55" s="10"/>
      <c r="BQ55" s="3"/>
      <c r="BR55" s="3"/>
      <c r="BS55" s="3"/>
      <c r="BT55" s="3"/>
      <c r="BU55" s="3"/>
      <c r="BV55" s="3"/>
      <c r="BW55" s="11"/>
      <c r="BX55" s="3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7" t="s">
        <v>115</v>
      </c>
      <c r="CP55" s="87"/>
      <c r="CQ55" s="87"/>
      <c r="CR55" s="87"/>
      <c r="CS55" s="87"/>
      <c r="CT55" s="87"/>
      <c r="CU55" s="87"/>
    </row>
    <row r="56" spans="1:99" ht="15" x14ac:dyDescent="0.25">
      <c r="A56" s="88"/>
      <c r="B56" s="88"/>
      <c r="C56" s="88"/>
      <c r="D56" s="88"/>
      <c r="E56" s="20" t="s">
        <v>9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7"/>
      <c r="U56" s="87"/>
      <c r="V56" s="87"/>
      <c r="W56" s="87"/>
      <c r="X56" s="87"/>
      <c r="Y56" s="87"/>
      <c r="Z56" s="88"/>
      <c r="AA56" s="87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O56" s="8"/>
      <c r="BP56" s="12"/>
      <c r="BQ56" s="5"/>
      <c r="BR56" s="5"/>
      <c r="BS56" s="5"/>
      <c r="BT56" s="5"/>
      <c r="BU56" s="5"/>
      <c r="BV56" s="5"/>
      <c r="BW56" s="13"/>
      <c r="BX56" s="3"/>
      <c r="BY56" s="1"/>
      <c r="BZ56" s="1" t="s">
        <v>126</v>
      </c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7" t="s">
        <v>116</v>
      </c>
      <c r="CP56" s="87"/>
      <c r="CQ56" s="87"/>
      <c r="CR56" s="87"/>
      <c r="CS56" s="87"/>
      <c r="CT56" s="87"/>
      <c r="CU56" s="87"/>
    </row>
    <row r="57" spans="1:99" ht="15" x14ac:dyDescent="0.25">
      <c r="A57" s="88"/>
      <c r="B57" s="88"/>
      <c r="C57" s="88"/>
      <c r="D57" s="67" t="s">
        <v>186</v>
      </c>
      <c r="E57" s="63">
        <f>SUM(E45:E54,E32:E41,E19:E28,E6:E15)</f>
        <v>160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7"/>
      <c r="U57" s="87"/>
      <c r="V57" s="87"/>
      <c r="W57" s="87"/>
      <c r="X57" s="87"/>
      <c r="Y57" s="87"/>
      <c r="Z57" s="88"/>
      <c r="AA57" s="87"/>
      <c r="AB57" s="1">
        <f>SUM(AB6:AB54)</f>
        <v>13225.538304</v>
      </c>
      <c r="AC57" s="1">
        <f>SUM(AC6:AC54)</f>
        <v>174789.38484586123</v>
      </c>
      <c r="AD57" s="1">
        <f>SUM(AD6:AD54)</f>
        <v>211.45681130332162</v>
      </c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O57" s="6" t="s">
        <v>73</v>
      </c>
      <c r="BP57" s="23"/>
      <c r="BQ57" s="4" t="s">
        <v>40</v>
      </c>
      <c r="BR57" s="4">
        <v>120.2556</v>
      </c>
      <c r="BS57" s="4">
        <v>0</v>
      </c>
      <c r="BT57" s="4">
        <v>56.278500000000001</v>
      </c>
      <c r="BU57" s="4">
        <v>0</v>
      </c>
      <c r="BV57" s="4">
        <v>0</v>
      </c>
      <c r="BW57" s="9">
        <v>0</v>
      </c>
      <c r="BX57" s="3"/>
      <c r="BY57" s="1" t="s">
        <v>171</v>
      </c>
      <c r="BZ57" s="1" t="s">
        <v>170</v>
      </c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7" t="s">
        <v>117</v>
      </c>
      <c r="CP57" s="87"/>
      <c r="CQ57" s="87"/>
      <c r="CR57" s="87"/>
      <c r="CS57" s="87"/>
      <c r="CT57" s="87"/>
      <c r="CU57" s="87"/>
    </row>
    <row r="58" spans="1:99" ht="15" x14ac:dyDescent="0.2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7"/>
      <c r="BO58" s="7"/>
      <c r="BP58" s="10"/>
      <c r="BQ58" s="3"/>
      <c r="BR58" s="3"/>
      <c r="BS58" s="3"/>
      <c r="BT58" s="3"/>
      <c r="BU58" s="3"/>
      <c r="BV58" s="3"/>
      <c r="BW58" s="11"/>
      <c r="BX58" s="3"/>
      <c r="BY58" s="1" t="s">
        <v>172</v>
      </c>
      <c r="BZ58" s="1" t="s">
        <v>127</v>
      </c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7" t="s">
        <v>118</v>
      </c>
      <c r="CP58" s="87"/>
      <c r="CQ58" s="87"/>
      <c r="CR58" s="87"/>
      <c r="CS58" s="87"/>
      <c r="CT58" s="87"/>
      <c r="CU58" s="87"/>
    </row>
    <row r="59" spans="1:99" ht="15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7"/>
      <c r="BO59" s="7" t="s">
        <v>73</v>
      </c>
      <c r="BP59" s="10"/>
      <c r="BQ59" s="3" t="s">
        <v>45</v>
      </c>
      <c r="BR59" s="3">
        <v>120.2556</v>
      </c>
      <c r="BS59" s="3">
        <v>0</v>
      </c>
      <c r="BT59" s="3">
        <v>56.278500000000001</v>
      </c>
      <c r="BU59" s="3">
        <v>0</v>
      </c>
      <c r="BV59" s="3">
        <v>0</v>
      </c>
      <c r="BW59" s="11">
        <v>0</v>
      </c>
      <c r="BX59" s="3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7" t="s">
        <v>119</v>
      </c>
      <c r="CP59" s="87"/>
      <c r="CQ59" s="87"/>
      <c r="CR59" s="87"/>
      <c r="CS59" s="87"/>
      <c r="CT59" s="87"/>
      <c r="CU59" s="87"/>
    </row>
    <row r="60" spans="1:99" ht="15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7"/>
      <c r="BO60" s="7" t="s">
        <v>73</v>
      </c>
      <c r="BP60" s="12"/>
      <c r="BQ60" s="5"/>
      <c r="BR60" s="3">
        <v>120.2556</v>
      </c>
      <c r="BS60" s="3">
        <v>0</v>
      </c>
      <c r="BT60" s="3">
        <v>56.278500000000001</v>
      </c>
      <c r="BU60" s="3">
        <v>0</v>
      </c>
      <c r="BV60" s="3">
        <v>0</v>
      </c>
      <c r="BW60" s="11">
        <v>0</v>
      </c>
      <c r="BX60" s="3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8" t="s">
        <v>120</v>
      </c>
      <c r="CP60" s="87"/>
      <c r="CQ60" s="87"/>
      <c r="CR60" s="87"/>
      <c r="CS60" s="87"/>
      <c r="CT60" s="87"/>
      <c r="CU60" s="87"/>
    </row>
    <row r="61" spans="1:99" ht="15" x14ac:dyDescent="0.2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7"/>
      <c r="BO61" s="6" t="s">
        <v>75</v>
      </c>
      <c r="BP61" s="23"/>
      <c r="BQ61" s="4" t="s">
        <v>40</v>
      </c>
      <c r="BR61" s="4">
        <v>176.55709999999999</v>
      </c>
      <c r="BS61" s="4">
        <v>0</v>
      </c>
      <c r="BT61" s="4">
        <v>298.52780000000001</v>
      </c>
      <c r="BU61" s="4">
        <v>0</v>
      </c>
      <c r="BV61" s="4">
        <v>0</v>
      </c>
      <c r="BW61" s="9">
        <v>0</v>
      </c>
      <c r="BX61" s="3"/>
      <c r="BY61" s="3"/>
      <c r="BZ61" s="1" t="s">
        <v>189</v>
      </c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87"/>
      <c r="CQ61" s="87"/>
      <c r="CR61" s="87"/>
      <c r="CS61" s="87"/>
      <c r="CT61" s="87"/>
      <c r="CU61" s="87"/>
    </row>
    <row r="62" spans="1:99" ht="15" x14ac:dyDescent="0.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7"/>
      <c r="BO62" s="7"/>
      <c r="BP62" s="10"/>
      <c r="BQ62" s="3"/>
      <c r="BR62" s="3"/>
      <c r="BS62" s="3"/>
      <c r="BT62" s="3"/>
      <c r="BU62" s="3"/>
      <c r="BV62" s="3"/>
      <c r="BW62" s="11"/>
      <c r="BX62" s="3"/>
      <c r="BY62" s="3">
        <v>-350</v>
      </c>
      <c r="BZ62" s="1" t="s">
        <v>191</v>
      </c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87"/>
      <c r="CQ62" s="87"/>
      <c r="CR62" s="87"/>
      <c r="CS62" s="87"/>
      <c r="CT62" s="87"/>
      <c r="CU62" s="87"/>
    </row>
    <row r="63" spans="1:99" ht="15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7"/>
      <c r="BO63" s="7" t="s">
        <v>75</v>
      </c>
      <c r="BP63" s="10"/>
      <c r="BQ63" s="3" t="s">
        <v>45</v>
      </c>
      <c r="BR63" s="3">
        <v>176.55709999999999</v>
      </c>
      <c r="BS63" s="3">
        <v>0</v>
      </c>
      <c r="BT63" s="3">
        <v>298.52780000000001</v>
      </c>
      <c r="BU63" s="3">
        <v>0</v>
      </c>
      <c r="BV63" s="3">
        <v>0</v>
      </c>
      <c r="BW63" s="11">
        <v>0</v>
      </c>
      <c r="BX63" s="3"/>
      <c r="BY63" s="3">
        <v>-130</v>
      </c>
      <c r="BZ63" s="1" t="s">
        <v>192</v>
      </c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87"/>
      <c r="CQ63" s="87"/>
      <c r="CR63" s="87"/>
      <c r="CS63" s="87"/>
      <c r="CT63" s="87"/>
      <c r="CU63" s="87"/>
    </row>
    <row r="64" spans="1:99" ht="15" x14ac:dyDescent="0.2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7"/>
      <c r="BO64" s="7" t="s">
        <v>75</v>
      </c>
      <c r="BP64" s="12"/>
      <c r="BQ64" s="5"/>
      <c r="BR64" s="3">
        <v>176.55709999999999</v>
      </c>
      <c r="BS64" s="3">
        <v>0</v>
      </c>
      <c r="BT64" s="3">
        <v>298.52780000000001</v>
      </c>
      <c r="BU64" s="3">
        <v>0</v>
      </c>
      <c r="BV64" s="3">
        <v>0</v>
      </c>
      <c r="BW64" s="11">
        <v>0</v>
      </c>
      <c r="BX64" s="3"/>
      <c r="BY64" s="3">
        <v>170</v>
      </c>
      <c r="BZ64" s="1" t="s">
        <v>193</v>
      </c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87"/>
      <c r="CQ64" s="87"/>
      <c r="CR64" s="87"/>
      <c r="CS64" s="87"/>
      <c r="CT64" s="87"/>
      <c r="CU64" s="87"/>
    </row>
    <row r="65" spans="1:99" ht="15" x14ac:dyDescent="0.2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7"/>
      <c r="BO65" s="6" t="s">
        <v>166</v>
      </c>
      <c r="BP65" s="23"/>
      <c r="BQ65" s="4"/>
      <c r="BR65" s="4">
        <v>1314.039</v>
      </c>
      <c r="BS65" s="4">
        <v>0</v>
      </c>
      <c r="BT65" s="4">
        <v>284.03500000000003</v>
      </c>
      <c r="BU65" s="4">
        <v>0</v>
      </c>
      <c r="BV65" s="4">
        <v>0</v>
      </c>
      <c r="BW65" s="9">
        <v>0</v>
      </c>
      <c r="BX65" s="3"/>
      <c r="BY65" s="3">
        <v>520</v>
      </c>
      <c r="BZ65" s="1" t="s">
        <v>194</v>
      </c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87"/>
      <c r="CQ65" s="87"/>
      <c r="CR65" s="87"/>
      <c r="CS65" s="87"/>
      <c r="CT65" s="87"/>
      <c r="CU65" s="87"/>
    </row>
    <row r="66" spans="1:99" ht="15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7"/>
      <c r="BO66" s="7"/>
      <c r="BP66" s="10"/>
      <c r="BQ66" s="3"/>
      <c r="BR66" s="3"/>
      <c r="BS66" s="3"/>
      <c r="BT66" s="3"/>
      <c r="BU66" s="3"/>
      <c r="BV66" s="3"/>
      <c r="BW66" s="11"/>
      <c r="BX66" s="3"/>
      <c r="BY66" s="3"/>
      <c r="BZ66" s="1" t="s">
        <v>195</v>
      </c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87"/>
      <c r="CQ66" s="87"/>
      <c r="CR66" s="87"/>
      <c r="CS66" s="87"/>
      <c r="CT66" s="87"/>
      <c r="CU66" s="87"/>
    </row>
    <row r="67" spans="1:99" ht="15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7"/>
      <c r="BO67" s="7"/>
      <c r="BP67" s="10"/>
      <c r="BQ67" s="3"/>
      <c r="BR67" s="3"/>
      <c r="BS67" s="3"/>
      <c r="BT67" s="3"/>
      <c r="BU67" s="3"/>
      <c r="BV67" s="3"/>
      <c r="BW67" s="11"/>
      <c r="BX67" s="3"/>
      <c r="BY67" s="3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87"/>
      <c r="CQ67" s="87"/>
      <c r="CR67" s="87"/>
      <c r="CS67" s="87"/>
      <c r="CT67" s="87"/>
      <c r="CU67" s="87"/>
    </row>
    <row r="68" spans="1:99" ht="15" x14ac:dyDescent="0.2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7"/>
      <c r="BO68" s="8"/>
      <c r="BP68" s="12"/>
      <c r="BQ68" s="5"/>
      <c r="BR68" s="5"/>
      <c r="BS68" s="5"/>
      <c r="BT68" s="5"/>
      <c r="BU68" s="5"/>
      <c r="BV68" s="5"/>
      <c r="BW68" s="13"/>
      <c r="BX68" s="3"/>
      <c r="BY68" s="3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87"/>
      <c r="CQ68" s="87"/>
      <c r="CR68" s="87"/>
      <c r="CS68" s="87"/>
      <c r="CT68" s="87"/>
      <c r="CU68" s="87"/>
    </row>
    <row r="69" spans="1:99" ht="15" x14ac:dyDescent="0.2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7"/>
      <c r="BO69" s="6" t="s">
        <v>164</v>
      </c>
      <c r="BP69" s="23"/>
      <c r="BQ69" s="4" t="s">
        <v>40</v>
      </c>
      <c r="BR69" s="4">
        <v>-1112.5899999999999</v>
      </c>
      <c r="BS69" s="4">
        <v>-3.48</v>
      </c>
      <c r="BT69" s="4">
        <v>0</v>
      </c>
      <c r="BU69" s="4">
        <v>4.8499999999999996</v>
      </c>
      <c r="BV69" s="4">
        <v>0</v>
      </c>
      <c r="BW69" s="9">
        <v>0</v>
      </c>
      <c r="BX69" s="3"/>
      <c r="BY69" s="3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87"/>
      <c r="CQ69" s="87"/>
      <c r="CR69" s="87"/>
      <c r="CS69" s="87"/>
      <c r="CT69" s="87"/>
      <c r="CU69" s="87"/>
    </row>
    <row r="70" spans="1:99" ht="15" x14ac:dyDescent="0.2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7"/>
      <c r="BO70" s="7"/>
      <c r="BP70" s="10"/>
      <c r="BQ70" s="3"/>
      <c r="BR70" s="3"/>
      <c r="BS70" s="3"/>
      <c r="BT70" s="3"/>
      <c r="BU70" s="3"/>
      <c r="BV70" s="3"/>
      <c r="BW70" s="11"/>
      <c r="BX70" s="3"/>
      <c r="BY70" s="3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87"/>
      <c r="CQ70" s="87"/>
      <c r="CR70" s="87"/>
      <c r="CS70" s="87"/>
      <c r="CT70" s="87"/>
      <c r="CU70" s="87"/>
    </row>
    <row r="71" spans="1:99" ht="15" x14ac:dyDescent="0.2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7"/>
      <c r="BO71" s="7" t="s">
        <v>164</v>
      </c>
      <c r="BP71" s="10"/>
      <c r="BQ71" s="3" t="s">
        <v>45</v>
      </c>
      <c r="BR71" s="3">
        <v>20.722000000000001</v>
      </c>
      <c r="BS71" s="3">
        <v>-2.085</v>
      </c>
      <c r="BT71" s="3">
        <v>-282.53500000000003</v>
      </c>
      <c r="BU71" s="3">
        <v>9.5340000000000007</v>
      </c>
      <c r="BV71" s="3">
        <v>-3.0000000000000001E-3</v>
      </c>
      <c r="BW71" s="11">
        <v>0</v>
      </c>
      <c r="BX71" s="3"/>
      <c r="BY71" s="3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87"/>
      <c r="CQ71" s="87"/>
      <c r="CR71" s="87"/>
      <c r="CS71" s="87"/>
      <c r="CT71" s="87"/>
      <c r="CU71" s="87"/>
    </row>
    <row r="72" spans="1:99" ht="15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7"/>
      <c r="BO72" s="8"/>
      <c r="BP72" s="12"/>
      <c r="BQ72" s="5"/>
      <c r="BR72" s="3"/>
      <c r="BS72" s="3"/>
      <c r="BT72" s="3"/>
      <c r="BU72" s="3"/>
      <c r="BV72" s="3"/>
      <c r="BW72" s="13"/>
      <c r="BX72" s="3"/>
      <c r="BY72" s="3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87"/>
      <c r="CQ72" s="87"/>
      <c r="CR72" s="87"/>
      <c r="CS72" s="87"/>
      <c r="CT72" s="87"/>
      <c r="CU72" s="87"/>
    </row>
    <row r="73" spans="1:99" ht="15" x14ac:dyDescent="0.25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7"/>
      <c r="BO73" s="6" t="s">
        <v>165</v>
      </c>
      <c r="BP73" s="23"/>
      <c r="BQ73" s="4" t="s">
        <v>40</v>
      </c>
      <c r="BR73" s="4">
        <v>-488.34500000000003</v>
      </c>
      <c r="BS73" s="4">
        <v>-2.677</v>
      </c>
      <c r="BT73" s="4">
        <v>0</v>
      </c>
      <c r="BU73" s="4">
        <v>6.609</v>
      </c>
      <c r="BV73" s="4">
        <v>0</v>
      </c>
      <c r="BW73" s="9">
        <v>0</v>
      </c>
      <c r="BX73" s="3"/>
      <c r="BY73" s="3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87"/>
      <c r="CQ73" s="87"/>
      <c r="CR73" s="87"/>
      <c r="CS73" s="87"/>
      <c r="CT73" s="87"/>
      <c r="CU73" s="87"/>
    </row>
    <row r="74" spans="1:99" ht="15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7"/>
      <c r="BO74" s="7"/>
      <c r="BP74" s="10"/>
      <c r="BQ74" s="3"/>
      <c r="BR74" s="3"/>
      <c r="BS74" s="3"/>
      <c r="BT74" s="3"/>
      <c r="BU74" s="3"/>
      <c r="BV74" s="3"/>
      <c r="BW74" s="11"/>
      <c r="BX74" s="3"/>
      <c r="BY74" s="3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87"/>
      <c r="CQ74" s="87"/>
      <c r="CR74" s="87"/>
      <c r="CS74" s="87"/>
      <c r="CT74" s="87"/>
      <c r="CU74" s="87"/>
    </row>
    <row r="75" spans="1:99" ht="15" x14ac:dyDescent="0.2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7"/>
      <c r="BO75" s="7" t="s">
        <v>165</v>
      </c>
      <c r="BP75" s="10"/>
      <c r="BQ75" s="3" t="s">
        <v>45</v>
      </c>
      <c r="BR75" s="3">
        <v>112.982</v>
      </c>
      <c r="BS75" s="3">
        <v>-1.8169999999999999</v>
      </c>
      <c r="BT75" s="3">
        <v>-168.24299999999999</v>
      </c>
      <c r="BU75" s="3">
        <v>10.67</v>
      </c>
      <c r="BV75" s="3">
        <v>-5.0000000000000001E-3</v>
      </c>
      <c r="BW75" s="11">
        <v>0</v>
      </c>
      <c r="BX75" s="3"/>
      <c r="BY75" s="3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87"/>
      <c r="CQ75" s="87"/>
      <c r="CR75" s="87"/>
      <c r="CS75" s="87"/>
      <c r="CT75" s="87"/>
      <c r="CU75" s="87"/>
    </row>
    <row r="76" spans="1:99" ht="15" x14ac:dyDescent="0.25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7"/>
      <c r="BO76" s="7"/>
      <c r="BP76" s="10"/>
      <c r="BQ76" s="3"/>
      <c r="BR76" s="3"/>
      <c r="BS76" s="3"/>
      <c r="BT76" s="3"/>
      <c r="BU76" s="3"/>
      <c r="BV76" s="3"/>
      <c r="BW76" s="11"/>
      <c r="BX76" s="3"/>
      <c r="BY76" s="3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87"/>
      <c r="CQ76" s="87"/>
      <c r="CR76" s="87"/>
      <c r="CS76" s="87"/>
      <c r="CT76" s="87"/>
      <c r="CU76" s="87"/>
    </row>
    <row r="77" spans="1:99" ht="15" x14ac:dyDescent="0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BO77" s="23" t="s">
        <v>121</v>
      </c>
      <c r="BP77" s="23" t="s">
        <v>40</v>
      </c>
      <c r="BQ77" s="4" t="s">
        <v>40</v>
      </c>
      <c r="BR77" s="4">
        <v>-963</v>
      </c>
      <c r="BS77" s="4">
        <v>0</v>
      </c>
      <c r="BT77" s="4">
        <v>0</v>
      </c>
      <c r="BU77" s="4">
        <v>0</v>
      </c>
      <c r="BV77" s="4">
        <v>0</v>
      </c>
      <c r="BW77" s="9">
        <v>0</v>
      </c>
      <c r="CP77" s="87"/>
      <c r="CQ77" s="87"/>
      <c r="CR77" s="87"/>
      <c r="CS77" s="87"/>
      <c r="CT77" s="87"/>
      <c r="CU77" s="87"/>
    </row>
    <row r="78" spans="1:99" ht="15" x14ac:dyDescent="0.25">
      <c r="BO78" s="10" t="s">
        <v>121</v>
      </c>
      <c r="BP78" s="10" t="s">
        <v>45</v>
      </c>
      <c r="BQ78" s="3" t="s">
        <v>40</v>
      </c>
      <c r="BR78" s="3">
        <v>-963</v>
      </c>
      <c r="BS78" s="3">
        <v>0</v>
      </c>
      <c r="BT78" s="3">
        <v>0</v>
      </c>
      <c r="BU78" s="3">
        <v>0</v>
      </c>
      <c r="BV78" s="3">
        <v>0</v>
      </c>
      <c r="BW78" s="11">
        <v>0</v>
      </c>
    </row>
    <row r="79" spans="1:99" ht="15" x14ac:dyDescent="0.25">
      <c r="BO79" s="10" t="s">
        <v>121</v>
      </c>
      <c r="BP79" s="10" t="s">
        <v>40</v>
      </c>
      <c r="BQ79" s="3" t="s">
        <v>45</v>
      </c>
      <c r="BR79" s="3">
        <v>-963</v>
      </c>
      <c r="BS79" s="3">
        <v>0</v>
      </c>
      <c r="BT79" s="3">
        <v>0</v>
      </c>
      <c r="BU79" s="3">
        <v>0</v>
      </c>
      <c r="BV79" s="3">
        <v>0</v>
      </c>
      <c r="BW79" s="11">
        <v>0</v>
      </c>
    </row>
    <row r="80" spans="1:99" ht="15" x14ac:dyDescent="0.25">
      <c r="BO80" s="10" t="s">
        <v>121</v>
      </c>
      <c r="BP80" s="10" t="s">
        <v>45</v>
      </c>
      <c r="BQ80" s="3" t="s">
        <v>45</v>
      </c>
      <c r="BR80" s="3">
        <v>-963</v>
      </c>
      <c r="BS80" s="3">
        <v>0</v>
      </c>
      <c r="BT80" s="3">
        <v>0</v>
      </c>
      <c r="BU80" s="3">
        <v>0</v>
      </c>
      <c r="BV80" s="3">
        <v>0</v>
      </c>
      <c r="BW80" s="11">
        <v>0</v>
      </c>
    </row>
    <row r="81" spans="67:75" ht="15" x14ac:dyDescent="0.25">
      <c r="BO81" s="10" t="s">
        <v>121</v>
      </c>
      <c r="BP81" s="10"/>
      <c r="BQ81" s="3" t="s">
        <v>40</v>
      </c>
      <c r="BR81" s="3">
        <v>-963</v>
      </c>
      <c r="BS81" s="3">
        <v>0</v>
      </c>
      <c r="BT81" s="3">
        <v>0</v>
      </c>
      <c r="BU81" s="3">
        <v>0</v>
      </c>
      <c r="BV81" s="3">
        <v>0</v>
      </c>
      <c r="BW81" s="11">
        <v>0</v>
      </c>
    </row>
    <row r="82" spans="67:75" ht="15" x14ac:dyDescent="0.25">
      <c r="BO82" s="10" t="s">
        <v>121</v>
      </c>
      <c r="BP82" s="10"/>
      <c r="BQ82" s="3" t="s">
        <v>45</v>
      </c>
      <c r="BR82" s="3">
        <v>-963</v>
      </c>
      <c r="BS82" s="3">
        <v>0</v>
      </c>
      <c r="BT82" s="3">
        <v>0</v>
      </c>
      <c r="BU82" s="3">
        <v>0</v>
      </c>
      <c r="BV82" s="3">
        <v>0</v>
      </c>
      <c r="BW82" s="11">
        <v>0</v>
      </c>
    </row>
    <row r="83" spans="67:75" ht="15" x14ac:dyDescent="0.25">
      <c r="BO83" s="10" t="s">
        <v>121</v>
      </c>
      <c r="BP83" s="10" t="s">
        <v>40</v>
      </c>
      <c r="BQ83" s="3"/>
      <c r="BR83" s="3">
        <v>-963</v>
      </c>
      <c r="BS83" s="3">
        <v>0</v>
      </c>
      <c r="BT83" s="3">
        <v>0</v>
      </c>
      <c r="BU83" s="3">
        <v>0</v>
      </c>
      <c r="BV83" s="3">
        <v>0</v>
      </c>
      <c r="BW83" s="11">
        <v>0</v>
      </c>
    </row>
    <row r="84" spans="67:75" ht="15" x14ac:dyDescent="0.25">
      <c r="BO84" s="98" t="s">
        <v>121</v>
      </c>
      <c r="BP84" s="98" t="s">
        <v>45</v>
      </c>
      <c r="BQ84" s="99"/>
      <c r="BR84" s="3">
        <v>-963</v>
      </c>
      <c r="BS84" s="3">
        <v>0</v>
      </c>
      <c r="BT84" s="3">
        <v>0</v>
      </c>
      <c r="BU84" s="3">
        <v>0</v>
      </c>
      <c r="BV84" s="3">
        <v>0</v>
      </c>
      <c r="BW84" s="11">
        <v>0</v>
      </c>
    </row>
    <row r="85" spans="67:75" ht="15" x14ac:dyDescent="0.25">
      <c r="BO85" s="12" t="s">
        <v>121</v>
      </c>
      <c r="BP85" s="12"/>
      <c r="BQ85" s="5"/>
      <c r="BR85" s="5">
        <v>-963</v>
      </c>
      <c r="BS85" s="5">
        <v>0</v>
      </c>
      <c r="BT85" s="5">
        <v>0</v>
      </c>
      <c r="BU85" s="5">
        <v>0</v>
      </c>
      <c r="BV85" s="5">
        <v>0</v>
      </c>
      <c r="BW85" s="13">
        <v>0</v>
      </c>
    </row>
  </sheetData>
  <sheetProtection password="80F0" sheet="1" objects="1" scenarios="1" selectLockedCells="1"/>
  <mergeCells count="10">
    <mergeCell ref="T1:U2"/>
    <mergeCell ref="L44:M44"/>
    <mergeCell ref="A4:C4"/>
    <mergeCell ref="A17:C17"/>
    <mergeCell ref="A30:C30"/>
    <mergeCell ref="A43:C43"/>
    <mergeCell ref="L5:M5"/>
    <mergeCell ref="L18:M18"/>
    <mergeCell ref="L31:M31"/>
    <mergeCell ref="I4:J4"/>
  </mergeCells>
  <conditionalFormatting sqref="Y6:Y15 Y19:Y28 Y32:Y41 Y45:Y54 Y2">
    <cfRule type="beginsWith" dxfId="24" priority="58" operator="beginsWith" text="Väga kõrge">
      <formula>LEFT(Y2,10)="Väga kõrge"</formula>
    </cfRule>
    <cfRule type="beginsWith" dxfId="23" priority="59" operator="beginsWith" text="Kõrge">
      <formula>LEFT(Y2,5)="Kõrge"</formula>
    </cfRule>
    <cfRule type="beginsWith" dxfId="22" priority="60" operator="beginsWith" text="Optimaalne">
      <formula>LEFT(Y2,10)="Optimaalne"</formula>
    </cfRule>
    <cfRule type="beginsWith" dxfId="21" priority="61" operator="beginsWith" text="Madal">
      <formula>LEFT(Y2,5)="Madal"</formula>
    </cfRule>
    <cfRule type="beginsWith" dxfId="20" priority="62" operator="beginsWith" text="Väga madal">
      <formula>LEFT(Y2,10)="Väga madal"</formula>
    </cfRule>
  </conditionalFormatting>
  <conditionalFormatting sqref="Y19:Y28 Y32:Y41 Y45:Y54 Y2">
    <cfRule type="beginsWith" dxfId="19" priority="53" operator="beginsWith" text="Väga kõrge">
      <formula>LEFT(Y2,10)="Väga kõrge"</formula>
    </cfRule>
    <cfRule type="beginsWith" dxfId="18" priority="54" operator="beginsWith" text="Kõrge">
      <formula>LEFT(Y2,5)="Kõrge"</formula>
    </cfRule>
    <cfRule type="beginsWith" dxfId="17" priority="55" operator="beginsWith" text="Optimaalne">
      <formula>LEFT(Y2,10)="Optimaalne"</formula>
    </cfRule>
    <cfRule type="beginsWith" dxfId="16" priority="56" operator="beginsWith" text="Madal">
      <formula>LEFT(Y2,5)="Madal"</formula>
    </cfRule>
    <cfRule type="beginsWith" dxfId="15" priority="57" operator="beginsWith" text="Väga madal">
      <formula>LEFT(Y2,10)="Väga madal"</formula>
    </cfRule>
  </conditionalFormatting>
  <conditionalFormatting sqref="E6:E15 G6:H15 K6:Q15 T6:T15">
    <cfRule type="expression" dxfId="14" priority="16">
      <formula>AND($D6&lt;&gt;"",E6="")</formula>
    </cfRule>
  </conditionalFormatting>
  <conditionalFormatting sqref="R6:S15">
    <cfRule type="expression" dxfId="13" priority="14">
      <formula>AND($Q6&lt;&gt;"",$Q6&lt;&gt;"Ilma väetiseta",R6="")</formula>
    </cfRule>
  </conditionalFormatting>
  <conditionalFormatting sqref="U6:U15">
    <cfRule type="expression" dxfId="12" priority="13">
      <formula>AND(T6="jah",U6="")</formula>
    </cfRule>
  </conditionalFormatting>
  <conditionalFormatting sqref="E45:E54 G45:G54 K45:Q54">
    <cfRule type="expression" dxfId="11" priority="12">
      <formula>AND($D45&lt;&gt;"",E45="")</formula>
    </cfRule>
  </conditionalFormatting>
  <conditionalFormatting sqref="R45:S54">
    <cfRule type="expression" dxfId="10" priority="11">
      <formula>AND($Q45&lt;&gt;"",$Q45&lt;&gt;"Ilma väetiseta",R45="")</formula>
    </cfRule>
  </conditionalFormatting>
  <conditionalFormatting sqref="E32:E41 G32:H41 K32:O41 Q32:Q41">
    <cfRule type="expression" dxfId="9" priority="10">
      <formula>AND($D32&lt;&gt;"",E32="")</formula>
    </cfRule>
  </conditionalFormatting>
  <conditionalFormatting sqref="R32:S41">
    <cfRule type="expression" dxfId="8" priority="9">
      <formula>AND($Q32&lt;&gt;"",$Q32&lt;&gt;"Ilma väetiseta",R32="")</formula>
    </cfRule>
  </conditionalFormatting>
  <conditionalFormatting sqref="T32:T41">
    <cfRule type="expression" dxfId="7" priority="8">
      <formula>AND(OR($D32="Timut koristatakse, künd",$D32="Timut koristatakse, ei künta"),T32="")</formula>
    </cfRule>
  </conditionalFormatting>
  <conditionalFormatting sqref="E19:E28 K19:Q28">
    <cfRule type="expression" dxfId="6" priority="7">
      <formula>AND($D19&lt;&gt;"",E19="")</formula>
    </cfRule>
  </conditionalFormatting>
  <conditionalFormatting sqref="U32:U41">
    <cfRule type="expression" dxfId="5" priority="6">
      <formula>AND(T32="jah",U32="")</formula>
    </cfRule>
  </conditionalFormatting>
  <conditionalFormatting sqref="R19:S28">
    <cfRule type="expression" dxfId="4" priority="5">
      <formula>AND($Q19&lt;&gt;"",$Q19&lt;&gt;"Ilma väetiseta",R19="")</formula>
    </cfRule>
  </conditionalFormatting>
  <conditionalFormatting sqref="T19:T28">
    <cfRule type="expression" dxfId="3" priority="4">
      <formula>AND(OR($D19="Raps",$D19="Kartul"),T19="")</formula>
    </cfRule>
  </conditionalFormatting>
  <conditionalFormatting sqref="U19:U28">
    <cfRule type="expression" dxfId="2" priority="3">
      <formula>AND(T19="jah",U19="")</formula>
    </cfRule>
  </conditionalFormatting>
  <conditionalFormatting sqref="G19:G28">
    <cfRule type="expression" dxfId="1" priority="2">
      <formula>AND($D19&lt;&gt;"",$D19&lt;&gt;"Mais",E19="")</formula>
    </cfRule>
  </conditionalFormatting>
  <conditionalFormatting sqref="H19:H28">
    <cfRule type="expression" dxfId="0" priority="1">
      <formula>AND($D19&lt;&gt;"",$D19&lt;&gt;"Kartul",$D19&lt;&gt;"Mais",E19="")</formula>
    </cfRule>
  </conditionalFormatting>
  <dataValidations count="16">
    <dataValidation type="list" allowBlank="1" showInputMessage="1" showErrorMessage="1" sqref="L6:L15 L19:L28 L32:L41 L45:L54">
      <formula1>$BY$43:$BY$44</formula1>
    </dataValidation>
    <dataValidation type="list" operator="equal" allowBlank="1" showErrorMessage="1" sqref="O6:O15 O45:O54 O32:O41 O19:O28">
      <formula1>$BY$47:$BY$53</formula1>
      <formula2>0</formula2>
    </dataValidation>
    <dataValidation type="list" operator="equal" allowBlank="1" showErrorMessage="1" sqref="K6:K15 K45:K54 K32:K41 K19:K28">
      <formula1>$BY$29:$BY$34</formula1>
      <formula2>0</formula2>
    </dataValidation>
    <dataValidation type="list" allowBlank="1" showInputMessage="1" showErrorMessage="1" sqref="P6:P15 P19:P28 P45:P54">
      <formula1>$CH$44:$CH$45</formula1>
    </dataValidation>
    <dataValidation type="list" operator="equal" allowBlank="1" showErrorMessage="1" sqref="Q6:Q15 Q45:Q54 Q32:Q41 Q19:Q28">
      <formula1>$BY$5:$BY$14</formula1>
    </dataValidation>
    <dataValidation operator="equal" showDropDown="1" showErrorMessage="1" sqref="U6:U15 U45:U54 U32:U41 U19:U28">
      <formula1>0</formula1>
      <formula2>0</formula2>
    </dataValidation>
    <dataValidation type="list" operator="equal" showErrorMessage="1" sqref="T6:T15 T32:T41 T19:T28 H6:H15 H19:H28">
      <formula1>"ei,jah"</formula1>
      <formula2>0</formula2>
    </dataValidation>
    <dataValidation operator="equal" allowBlank="1" showErrorMessage="1" sqref="AH6:AH15 AH45:AH54 AH32:AH41 AH19:AH28">
      <formula1>$BY$47:$BY$53</formula1>
      <formula2>0</formula2>
    </dataValidation>
    <dataValidation type="list" allowBlank="1" showInputMessage="1" showErrorMessage="1" sqref="H32:H41">
      <formula1>$CH$35:$CH$36</formula1>
    </dataValidation>
    <dataValidation type="list" operator="equal" allowBlank="1" showErrorMessage="1" sqref="D32:D41">
      <formula1>$CF$23:$CF$30</formula1>
    </dataValidation>
    <dataValidation type="list" operator="equal" allowBlank="1" showErrorMessage="1" sqref="D45:D54">
      <formula1>$CF$31:$CF$32</formula1>
    </dataValidation>
    <dataValidation type="list" operator="equal" allowBlank="1" showErrorMessage="1" sqref="D19:D28">
      <formula1>$CF$19:$CF$22</formula1>
    </dataValidation>
    <dataValidation type="list" operator="equal" allowBlank="1" showErrorMessage="1" sqref="D6:D15">
      <formula1>$CF$15:$CF$18</formula1>
    </dataValidation>
    <dataValidation type="list" allowBlank="1" showInputMessage="1" showErrorMessage="1" sqref="I6:I15">
      <formula1>"ei,jah"</formula1>
    </dataValidation>
    <dataValidation type="list" allowBlank="1" showInputMessage="1" showErrorMessage="1" sqref="J6:J15 G45:G54">
      <formula1>$BY$38:$BY$40</formula1>
    </dataValidation>
    <dataValidation type="decimal" allowBlank="1" showErrorMessage="1" error="Liblikõieliste protsent peab olema 10 ja 90 vahel." sqref="I32:I41">
      <formula1>10</formula1>
      <formula2>90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34924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Kasutusjuhend</vt:lpstr>
      <vt:lpstr>Kalkulaator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Alar Astover</dc:creator>
  <cp:lastModifiedBy>Hanna Kreen</cp:lastModifiedBy>
  <cp:revision>157</cp:revision>
  <cp:lastPrinted>2015-03-02T09:11:46Z</cp:lastPrinted>
  <dcterms:created xsi:type="dcterms:W3CDTF">2015-01-18T16:53:37Z</dcterms:created>
  <dcterms:modified xsi:type="dcterms:W3CDTF">2015-06-11T11:42:42Z</dcterms:modified>
  <dc:language>et-EE</dc:language>
</cp:coreProperties>
</file>