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H:\Desktop\arved\"/>
    </mc:Choice>
  </mc:AlternateContent>
  <xr:revisionPtr revIDLastSave="0" documentId="8_{D344372C-6144-40BE-A579-99DC837D8731}" xr6:coauthVersionLast="44" xr6:coauthVersionMax="44" xr10:uidLastSave="{00000000-0000-0000-0000-000000000000}"/>
  <bookViews>
    <workbookView xWindow="2250" yWindow="2790" windowWidth="23745" windowHeight="11385" firstSheet="3" activeTab="7" xr2:uid="{00000000-000D-0000-FFFF-FFFF00000000}"/>
  </bookViews>
  <sheets>
    <sheet name="Print" sheetId="2" state="hidden" r:id="rId1"/>
    <sheet name="Tulemused" sheetId="3" state="hidden" r:id="rId2"/>
    <sheet name="Teenuste valik" sheetId="1" r:id="rId3"/>
    <sheet name="Kokkuvõte" sheetId="18" r:id="rId4"/>
    <sheet name="Majandusanalüüs" sheetId="4" r:id="rId5"/>
    <sheet name="Tasulised teenused" sheetId="21" r:id="rId6"/>
    <sheet name="Baasandmed" sheetId="5" r:id="rId7"/>
    <sheet name="Kulude_jaotus" sheetId="20" r:id="rId8"/>
  </sheets>
  <definedNames>
    <definedName name="_xlnm._FilterDatabase" localSheetId="4" hidden="1">Majandusanalüüs!$C$3:$AM$87</definedName>
    <definedName name="_xlnm._FilterDatabase" localSheetId="0" hidden="1">Print!$B$2:$E$25</definedName>
    <definedName name="_xlnm._FilterDatabase" localSheetId="2" hidden="1">'Teenuste valik'!$A$1:$R$59</definedName>
    <definedName name="_xlnm._FilterDatabase" localSheetId="1" hidden="1">Tulemused!$B$58:$I$108</definedName>
    <definedName name="Hinnang">Kokkuvõte!$V$3:$V$14</definedName>
    <definedName name="Otsene_tulu">Majandusanalüüs!$W$3:$W$87</definedName>
    <definedName name="Sihtgrupp">Kokkuvõte!$C$3:$H$14</definedName>
    <definedName name="Teenus">Kokkuvõte!$I$3:$I$14</definedName>
    <definedName name="Teenuse_kulu">Majandusanalüüs!$AH$3:$AH$87</definedName>
    <definedName name="Teenuse_pidaja">Kokkuvõte!$B$3:$B$14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20" l="1"/>
  <c r="D8" i="20" l="1"/>
  <c r="K7" i="20"/>
  <c r="J7" i="20"/>
  <c r="I7" i="20"/>
  <c r="G7" i="20"/>
  <c r="F7" i="20"/>
  <c r="E7" i="20"/>
  <c r="D22" i="20"/>
  <c r="H22" i="20" s="1"/>
  <c r="D21" i="20"/>
  <c r="G21" i="20" s="1"/>
  <c r="K8" i="20" l="1"/>
  <c r="J8" i="20"/>
  <c r="J2" i="20" s="1"/>
  <c r="I8" i="20"/>
  <c r="G8" i="20"/>
  <c r="F8" i="20"/>
  <c r="E8" i="20"/>
  <c r="E2" i="20" s="1"/>
  <c r="I2" i="20"/>
  <c r="G2" i="20"/>
  <c r="J21" i="20"/>
  <c r="F21" i="20"/>
  <c r="H21" i="20" s="1"/>
  <c r="K21" i="20"/>
  <c r="I21" i="20"/>
  <c r="L22" i="20"/>
  <c r="F2" i="20"/>
  <c r="D20" i="20"/>
  <c r="H7" i="20"/>
  <c r="L7" i="20"/>
  <c r="H8" i="20"/>
  <c r="H2" i="20" l="1"/>
  <c r="I20" i="20"/>
  <c r="K20" i="20"/>
  <c r="J20" i="20"/>
  <c r="G20" i="20"/>
  <c r="H20" i="20" s="1"/>
  <c r="L8" i="20"/>
  <c r="K2" i="20"/>
  <c r="L2" i="20" s="1"/>
  <c r="L21" i="20"/>
  <c r="D30" i="20"/>
  <c r="D32" i="20" s="1"/>
  <c r="D2" i="20" l="1"/>
  <c r="L20" i="20"/>
  <c r="K9" i="20" l="1"/>
  <c r="J14" i="20"/>
  <c r="L14" i="20" s="1"/>
  <c r="I10" i="20"/>
  <c r="L10" i="20" s="1"/>
  <c r="G14" i="20"/>
  <c r="E14" i="20"/>
  <c r="E9" i="20" s="1"/>
  <c r="L12" i="20"/>
  <c r="J13" i="20"/>
  <c r="L13" i="20" s="1"/>
  <c r="I11" i="20"/>
  <c r="F10" i="20"/>
  <c r="H10" i="20" s="1"/>
  <c r="F13" i="20"/>
  <c r="G12" i="20"/>
  <c r="G9" i="20" s="1"/>
  <c r="D9" i="20"/>
  <c r="J9" i="20" l="1"/>
  <c r="I9" i="20"/>
  <c r="F9" i="20"/>
  <c r="L11" i="20"/>
  <c r="L9" i="20" s="1"/>
  <c r="AM53" i="4"/>
  <c r="J38" i="20" l="1"/>
  <c r="K38" i="20"/>
  <c r="I38" i="20"/>
  <c r="F38" i="20"/>
  <c r="G38" i="20"/>
  <c r="E38" i="20"/>
  <c r="D43" i="20"/>
  <c r="E43" i="20" s="1"/>
  <c r="D42" i="20"/>
  <c r="I42" i="20" s="1"/>
  <c r="D41" i="20"/>
  <c r="J41" i="20" s="1"/>
  <c r="D40" i="20"/>
  <c r="E40" i="20" s="1"/>
  <c r="D44" i="20"/>
  <c r="E44" i="20" s="1"/>
  <c r="D19" i="20"/>
  <c r="D18" i="20"/>
  <c r="K18" i="20" s="1"/>
  <c r="D17" i="20"/>
  <c r="K17" i="20" s="1"/>
  <c r="D16" i="20"/>
  <c r="F16" i="20" l="1"/>
  <c r="G16" i="20"/>
  <c r="G15" i="20" s="1"/>
  <c r="F19" i="20"/>
  <c r="H19" i="20" s="1"/>
  <c r="G19" i="20"/>
  <c r="D15" i="20"/>
  <c r="G42" i="20"/>
  <c r="K42" i="20"/>
  <c r="I16" i="20"/>
  <c r="G40" i="20"/>
  <c r="K40" i="20"/>
  <c r="I19" i="20"/>
  <c r="I44" i="20"/>
  <c r="G44" i="20"/>
  <c r="K44" i="20"/>
  <c r="H16" i="20"/>
  <c r="E42" i="20"/>
  <c r="F44" i="20"/>
  <c r="F42" i="20"/>
  <c r="F40" i="20"/>
  <c r="I43" i="20"/>
  <c r="J44" i="20"/>
  <c r="J42" i="20"/>
  <c r="J40" i="20"/>
  <c r="E41" i="20"/>
  <c r="G43" i="20"/>
  <c r="G41" i="20"/>
  <c r="I40" i="20"/>
  <c r="K43" i="20"/>
  <c r="K41" i="20"/>
  <c r="F43" i="20"/>
  <c r="F41" i="20"/>
  <c r="I41" i="20"/>
  <c r="J43" i="20"/>
  <c r="H18" i="20"/>
  <c r="H17" i="20"/>
  <c r="F15" i="20" l="1"/>
  <c r="H15" i="20" s="1"/>
  <c r="D23" i="20"/>
  <c r="D25" i="20" s="1"/>
  <c r="D34" i="20" s="1"/>
  <c r="I15" i="20"/>
  <c r="L17" i="20"/>
  <c r="J15" i="20"/>
  <c r="L19" i="20"/>
  <c r="K15" i="20"/>
  <c r="L16" i="20"/>
  <c r="L18" i="20"/>
  <c r="AE4" i="4"/>
  <c r="J11" i="18"/>
  <c r="H82" i="4"/>
  <c r="J14" i="18" s="1"/>
  <c r="H68" i="4"/>
  <c r="J12" i="18" s="1"/>
  <c r="H54" i="4"/>
  <c r="J10" i="18" s="1"/>
  <c r="H47" i="4"/>
  <c r="J9" i="18" s="1"/>
  <c r="H26" i="4"/>
  <c r="J6" i="18" s="1"/>
  <c r="I60" i="4"/>
  <c r="L26" i="5"/>
  <c r="I46" i="4" s="1"/>
  <c r="I47" i="4" s="1"/>
  <c r="I48" i="4" s="1"/>
  <c r="T3" i="18"/>
  <c r="U4" i="18"/>
  <c r="U5" i="18"/>
  <c r="U6" i="18"/>
  <c r="U7" i="18"/>
  <c r="U8" i="18"/>
  <c r="U9" i="18"/>
  <c r="U10" i="18"/>
  <c r="U11" i="18"/>
  <c r="U12" i="18"/>
  <c r="U13" i="18"/>
  <c r="U14" i="18"/>
  <c r="U3" i="18"/>
  <c r="T5" i="18"/>
  <c r="T6" i="18"/>
  <c r="T7" i="18"/>
  <c r="T8" i="18"/>
  <c r="T9" i="18"/>
  <c r="T10" i="18"/>
  <c r="T11" i="18"/>
  <c r="T12" i="18"/>
  <c r="T13" i="18"/>
  <c r="T14" i="18"/>
  <c r="T4" i="18"/>
  <c r="L15" i="20" l="1"/>
  <c r="L23" i="20" s="1"/>
  <c r="I25" i="4"/>
  <c r="I26" i="4" s="1"/>
  <c r="I67" i="4"/>
  <c r="I53" i="4"/>
  <c r="I81" i="4"/>
  <c r="AM87" i="4"/>
  <c r="AM86" i="4"/>
  <c r="AM85" i="4"/>
  <c r="AM84" i="4"/>
  <c r="AM83" i="4"/>
  <c r="AM82" i="4"/>
  <c r="AM81" i="4"/>
  <c r="AM80" i="4"/>
  <c r="AM79" i="4"/>
  <c r="AM78" i="4"/>
  <c r="AM77" i="4"/>
  <c r="AM76" i="4"/>
  <c r="AM75" i="4"/>
  <c r="AM74" i="4"/>
  <c r="AM73" i="4"/>
  <c r="AM72" i="4"/>
  <c r="AM71" i="4"/>
  <c r="AM70" i="4"/>
  <c r="AM69" i="4"/>
  <c r="AM68" i="4"/>
  <c r="AM67" i="4"/>
  <c r="AM66" i="4"/>
  <c r="AM65" i="4"/>
  <c r="AM64" i="4"/>
  <c r="AM63" i="4"/>
  <c r="AM62" i="4"/>
  <c r="AM61" i="4"/>
  <c r="AM60" i="4"/>
  <c r="AM59" i="4"/>
  <c r="AM58" i="4"/>
  <c r="AM57" i="4"/>
  <c r="AM56" i="4"/>
  <c r="AM55" i="4"/>
  <c r="AM54" i="4"/>
  <c r="AM52" i="4"/>
  <c r="AM51" i="4"/>
  <c r="AM50" i="4"/>
  <c r="AM49" i="4"/>
  <c r="AM48" i="4"/>
  <c r="AM47" i="4"/>
  <c r="AM46" i="4"/>
  <c r="AM45" i="4"/>
  <c r="AM44" i="4"/>
  <c r="AM43" i="4"/>
  <c r="AM42" i="4"/>
  <c r="AM41" i="4"/>
  <c r="AM40" i="4"/>
  <c r="AM39" i="4"/>
  <c r="AM38" i="4"/>
  <c r="AM37" i="4"/>
  <c r="AM36" i="4"/>
  <c r="AM35" i="4"/>
  <c r="AM34" i="4"/>
  <c r="AM33" i="4"/>
  <c r="AM32" i="4"/>
  <c r="AM31" i="4"/>
  <c r="AM30" i="4"/>
  <c r="AM29" i="4"/>
  <c r="AM28" i="4"/>
  <c r="AM27" i="4"/>
  <c r="AM26" i="4"/>
  <c r="AM25" i="4"/>
  <c r="AM24" i="4"/>
  <c r="AM23" i="4"/>
  <c r="AM22" i="4"/>
  <c r="AM21" i="4"/>
  <c r="AM20" i="4"/>
  <c r="AM19" i="4"/>
  <c r="AM18" i="4"/>
  <c r="AM17" i="4"/>
  <c r="AM16" i="4"/>
  <c r="AM15" i="4"/>
  <c r="AM14" i="4"/>
  <c r="AM13" i="4"/>
  <c r="AM12" i="4"/>
  <c r="AM11" i="4"/>
  <c r="AC31" i="4"/>
  <c r="AG31" i="4"/>
  <c r="AE31" i="4"/>
  <c r="AA31" i="4"/>
  <c r="Y31" i="4"/>
  <c r="AH87" i="4"/>
  <c r="AH86" i="4"/>
  <c r="AH85" i="4"/>
  <c r="AH84" i="4"/>
  <c r="AH83" i="4"/>
  <c r="AH82" i="4"/>
  <c r="AH80" i="4"/>
  <c r="AH79" i="4"/>
  <c r="AH78" i="4"/>
  <c r="AH77" i="4"/>
  <c r="AH76" i="4"/>
  <c r="AH75" i="4"/>
  <c r="AH73" i="4"/>
  <c r="AH72" i="4"/>
  <c r="AH71" i="4"/>
  <c r="AH70" i="4"/>
  <c r="AH69" i="4"/>
  <c r="AH68" i="4"/>
  <c r="AH66" i="4"/>
  <c r="AH65" i="4"/>
  <c r="AH64" i="4"/>
  <c r="AH63" i="4"/>
  <c r="AH62" i="4"/>
  <c r="AH61" i="4"/>
  <c r="AH59" i="4"/>
  <c r="AH58" i="4"/>
  <c r="AH57" i="4"/>
  <c r="AH56" i="4"/>
  <c r="AH55" i="4"/>
  <c r="AH54" i="4"/>
  <c r="AH52" i="4"/>
  <c r="AH51" i="4"/>
  <c r="AH50" i="4"/>
  <c r="AH49" i="4"/>
  <c r="AH48" i="4"/>
  <c r="AH47" i="4"/>
  <c r="AH45" i="4"/>
  <c r="AH44" i="4"/>
  <c r="AH43" i="4"/>
  <c r="AH42" i="4"/>
  <c r="AH41" i="4"/>
  <c r="AH40" i="4"/>
  <c r="AH38" i="4"/>
  <c r="AH37" i="4"/>
  <c r="AH36" i="4"/>
  <c r="AH35" i="4"/>
  <c r="AH34" i="4"/>
  <c r="AH33" i="4"/>
  <c r="AH30" i="4"/>
  <c r="AH29" i="4"/>
  <c r="AH28" i="4"/>
  <c r="AH27" i="4"/>
  <c r="AH26" i="4"/>
  <c r="AH24" i="4"/>
  <c r="AH23" i="4"/>
  <c r="AH22" i="4"/>
  <c r="AH21" i="4"/>
  <c r="AH20" i="4"/>
  <c r="AH19" i="4"/>
  <c r="AH17" i="4"/>
  <c r="AH16" i="4"/>
  <c r="AH15" i="4"/>
  <c r="AH14" i="4"/>
  <c r="AH13" i="4"/>
  <c r="AH12" i="4"/>
  <c r="AH6" i="4"/>
  <c r="AH7" i="4"/>
  <c r="AH8" i="4"/>
  <c r="AH9" i="4"/>
  <c r="AH10" i="4"/>
  <c r="AH5" i="4"/>
  <c r="AM4" i="4"/>
  <c r="W87" i="4"/>
  <c r="W85" i="4"/>
  <c r="H86" i="4"/>
  <c r="AG81" i="4"/>
  <c r="Q14" i="18" s="1"/>
  <c r="AE81" i="4"/>
  <c r="AC81" i="4"/>
  <c r="P14" i="18" s="1"/>
  <c r="AA81" i="4"/>
  <c r="Y81" i="4"/>
  <c r="I82" i="4"/>
  <c r="V61" i="4"/>
  <c r="AA53" i="4"/>
  <c r="Y53" i="4"/>
  <c r="AA46" i="4"/>
  <c r="Y46" i="4"/>
  <c r="AA39" i="4"/>
  <c r="Y39" i="4"/>
  <c r="AA32" i="4"/>
  <c r="Y32" i="4"/>
  <c r="AA25" i="4"/>
  <c r="Y25" i="4"/>
  <c r="AA18" i="4"/>
  <c r="Y18" i="4"/>
  <c r="AA11" i="4"/>
  <c r="Y11" i="4"/>
  <c r="AA4" i="4"/>
  <c r="Y4" i="4"/>
  <c r="AA60" i="4"/>
  <c r="Y60" i="4"/>
  <c r="AA67" i="4"/>
  <c r="Y67" i="4"/>
  <c r="H72" i="4"/>
  <c r="I68" i="4"/>
  <c r="H75" i="4"/>
  <c r="AG74" i="4"/>
  <c r="Q13" i="18" s="1"/>
  <c r="AE74" i="4"/>
  <c r="AB74" i="4"/>
  <c r="AC74" i="4" s="1"/>
  <c r="P13" i="18" s="1"/>
  <c r="AA74" i="4"/>
  <c r="Y74" i="4"/>
  <c r="I74" i="4"/>
  <c r="I75" i="4" s="1"/>
  <c r="AG67" i="4"/>
  <c r="Q12" i="18" s="1"/>
  <c r="AE67" i="4"/>
  <c r="AC67" i="4"/>
  <c r="P12" i="18" s="1"/>
  <c r="AC60" i="4"/>
  <c r="P11" i="18" s="1"/>
  <c r="H66" i="4"/>
  <c r="V66" i="4" s="1"/>
  <c r="H64" i="4"/>
  <c r="I62" i="4"/>
  <c r="H62" i="4"/>
  <c r="H63" i="4"/>
  <c r="V63" i="4" s="1"/>
  <c r="AG60" i="4"/>
  <c r="Q11" i="18" s="1"/>
  <c r="AE60" i="4"/>
  <c r="O13" i="18" l="1"/>
  <c r="O14" i="18"/>
  <c r="O11" i="18"/>
  <c r="O12" i="18"/>
  <c r="O3" i="18"/>
  <c r="H78" i="4"/>
  <c r="V78" i="4" s="1"/>
  <c r="W78" i="4" s="1"/>
  <c r="J13" i="18"/>
  <c r="AH81" i="4"/>
  <c r="N14" i="18" s="1"/>
  <c r="AH31" i="4"/>
  <c r="AH60" i="4"/>
  <c r="N11" i="18" s="1"/>
  <c r="AH74" i="4"/>
  <c r="N13" i="18" s="1"/>
  <c r="AH67" i="4"/>
  <c r="N12" i="18" s="1"/>
  <c r="H79" i="4"/>
  <c r="V79" i="4" s="1"/>
  <c r="V68" i="4"/>
  <c r="H76" i="4"/>
  <c r="V76" i="4" s="1"/>
  <c r="W76" i="4" s="1"/>
  <c r="H80" i="4"/>
  <c r="V80" i="4" s="1"/>
  <c r="W80" i="4" s="1"/>
  <c r="H84" i="4"/>
  <c r="H77" i="4"/>
  <c r="V77" i="4" s="1"/>
  <c r="W77" i="4" s="1"/>
  <c r="V62" i="4"/>
  <c r="W62" i="4" s="1"/>
  <c r="V75" i="4"/>
  <c r="I86" i="4"/>
  <c r="I83" i="4"/>
  <c r="V83" i="4" s="1"/>
  <c r="W83" i="4" s="1"/>
  <c r="V82" i="4"/>
  <c r="I84" i="4"/>
  <c r="V84" i="4" s="1"/>
  <c r="W84" i="4" s="1"/>
  <c r="H83" i="4"/>
  <c r="H85" i="4"/>
  <c r="W63" i="4"/>
  <c r="I69" i="4"/>
  <c r="I72" i="4"/>
  <c r="T72" i="4" s="1"/>
  <c r="W72" i="4" s="1"/>
  <c r="H69" i="4"/>
  <c r="V69" i="4" s="1"/>
  <c r="W69" i="4" s="1"/>
  <c r="H71" i="4"/>
  <c r="H70" i="4"/>
  <c r="I70" i="4"/>
  <c r="I77" i="4"/>
  <c r="I79" i="4"/>
  <c r="T79" i="4" s="1"/>
  <c r="I76" i="4"/>
  <c r="I66" i="4"/>
  <c r="W66" i="4" s="1"/>
  <c r="I63" i="4"/>
  <c r="I65" i="4"/>
  <c r="V64" i="4"/>
  <c r="W64" i="4" s="1"/>
  <c r="H65" i="4"/>
  <c r="V65" i="4" s="1"/>
  <c r="W57" i="4"/>
  <c r="H55" i="4"/>
  <c r="AG53" i="4"/>
  <c r="Q10" i="18" s="1"/>
  <c r="AE53" i="4"/>
  <c r="AC53" i="4"/>
  <c r="P10" i="18" s="1"/>
  <c r="I54" i="4"/>
  <c r="I55" i="4" s="1"/>
  <c r="V55" i="4" s="1"/>
  <c r="W55" i="4" s="1"/>
  <c r="W52" i="4"/>
  <c r="W50" i="4"/>
  <c r="H51" i="4"/>
  <c r="AG46" i="4"/>
  <c r="Q9" i="18" s="1"/>
  <c r="AE46" i="4"/>
  <c r="D39" i="20" s="1"/>
  <c r="AC46" i="4"/>
  <c r="P9" i="18" s="1"/>
  <c r="J39" i="20" l="1"/>
  <c r="D37" i="20"/>
  <c r="G39" i="20"/>
  <c r="E39" i="20"/>
  <c r="E37" i="20" s="1"/>
  <c r="F39" i="20"/>
  <c r="K39" i="20"/>
  <c r="I39" i="20"/>
  <c r="L43" i="20"/>
  <c r="L41" i="20"/>
  <c r="H43" i="20"/>
  <c r="O10" i="18"/>
  <c r="O9" i="18"/>
  <c r="L42" i="20"/>
  <c r="H41" i="20"/>
  <c r="H42" i="20"/>
  <c r="H44" i="20"/>
  <c r="L44" i="20"/>
  <c r="M13" i="18"/>
  <c r="M12" i="18"/>
  <c r="M11" i="18"/>
  <c r="AH46" i="4"/>
  <c r="N9" i="18" s="1"/>
  <c r="AH53" i="4"/>
  <c r="N10" i="18" s="1"/>
  <c r="W79" i="4"/>
  <c r="V86" i="4"/>
  <c r="M14" i="18" s="1"/>
  <c r="T86" i="4"/>
  <c r="T65" i="4"/>
  <c r="H56" i="4"/>
  <c r="H58" i="4"/>
  <c r="H57" i="4"/>
  <c r="I59" i="4"/>
  <c r="V59" i="4" s="1"/>
  <c r="W59" i="4" s="1"/>
  <c r="I56" i="4"/>
  <c r="V56" i="4" s="1"/>
  <c r="W56" i="4" s="1"/>
  <c r="I58" i="4"/>
  <c r="V54" i="4"/>
  <c r="H50" i="4"/>
  <c r="I51" i="4"/>
  <c r="I49" i="4"/>
  <c r="V49" i="4" s="1"/>
  <c r="W49" i="4" s="1"/>
  <c r="V48" i="4"/>
  <c r="W48" i="4" s="1"/>
  <c r="V47" i="4"/>
  <c r="H48" i="4"/>
  <c r="H49" i="4"/>
  <c r="I39" i="4"/>
  <c r="I40" i="4" s="1"/>
  <c r="I32" i="4"/>
  <c r="I33" i="4" s="1"/>
  <c r="V33" i="4" s="1"/>
  <c r="W45" i="4"/>
  <c r="W43" i="4"/>
  <c r="H40" i="4"/>
  <c r="AG39" i="4"/>
  <c r="Q8" i="18" s="1"/>
  <c r="AE39" i="4"/>
  <c r="AC39" i="4"/>
  <c r="E10" i="5"/>
  <c r="C10" i="5"/>
  <c r="E5" i="5"/>
  <c r="E6" i="5"/>
  <c r="E7" i="5"/>
  <c r="E8" i="5"/>
  <c r="E4" i="5"/>
  <c r="C5" i="5"/>
  <c r="C6" i="5"/>
  <c r="C7" i="5"/>
  <c r="C8" i="5"/>
  <c r="C4" i="5"/>
  <c r="AC25" i="4"/>
  <c r="W36" i="4"/>
  <c r="I4" i="4"/>
  <c r="H33" i="4"/>
  <c r="H30" i="4"/>
  <c r="H19" i="4"/>
  <c r="H12" i="4"/>
  <c r="H5" i="4"/>
  <c r="J3" i="18" s="1"/>
  <c r="L40" i="20" l="1"/>
  <c r="O8" i="18"/>
  <c r="P6" i="18"/>
  <c r="AH39" i="4"/>
  <c r="N8" i="18" s="1"/>
  <c r="P8" i="18"/>
  <c r="H7" i="4"/>
  <c r="H9" i="4"/>
  <c r="H37" i="4"/>
  <c r="J7" i="18"/>
  <c r="H16" i="4"/>
  <c r="J4" i="18"/>
  <c r="H21" i="4"/>
  <c r="J5" i="18"/>
  <c r="H41" i="4"/>
  <c r="J8" i="18"/>
  <c r="W86" i="4"/>
  <c r="W65" i="4"/>
  <c r="V58" i="4"/>
  <c r="M10" i="18" s="1"/>
  <c r="T58" i="4"/>
  <c r="V51" i="4"/>
  <c r="M9" i="18" s="1"/>
  <c r="T51" i="4"/>
  <c r="V40" i="4"/>
  <c r="I42" i="4"/>
  <c r="V42" i="4" s="1"/>
  <c r="W42" i="4" s="1"/>
  <c r="I44" i="4"/>
  <c r="H42" i="4"/>
  <c r="H44" i="4"/>
  <c r="I41" i="4"/>
  <c r="V41" i="4" s="1"/>
  <c r="W41" i="4" s="1"/>
  <c r="H43" i="4"/>
  <c r="H34" i="4"/>
  <c r="H27" i="4"/>
  <c r="H28" i="4"/>
  <c r="H35" i="4"/>
  <c r="H29" i="4"/>
  <c r="H36" i="4"/>
  <c r="H6" i="4"/>
  <c r="I35" i="4"/>
  <c r="V35" i="4" s="1"/>
  <c r="W35" i="4" s="1"/>
  <c r="I34" i="4"/>
  <c r="V34" i="4" s="1"/>
  <c r="I37" i="4"/>
  <c r="H23" i="4"/>
  <c r="H20" i="4"/>
  <c r="H13" i="4"/>
  <c r="H14" i="4"/>
  <c r="AG18" i="4"/>
  <c r="Q5" i="18" s="1"/>
  <c r="AE18" i="4"/>
  <c r="AC18" i="4"/>
  <c r="P5" i="18" s="1"/>
  <c r="AG25" i="4"/>
  <c r="Q6" i="18" s="1"/>
  <c r="I18" i="4"/>
  <c r="P3" i="5"/>
  <c r="I5" i="4"/>
  <c r="I11" i="4"/>
  <c r="I12" i="4" s="1"/>
  <c r="H40" i="20" l="1"/>
  <c r="L39" i="20"/>
  <c r="H39" i="20"/>
  <c r="AH25" i="4"/>
  <c r="N6" i="18" s="1"/>
  <c r="O6" i="18"/>
  <c r="O5" i="18"/>
  <c r="AH18" i="4"/>
  <c r="N5" i="18" s="1"/>
  <c r="P82" i="4"/>
  <c r="P61" i="4"/>
  <c r="P54" i="4"/>
  <c r="I31" i="4"/>
  <c r="V31" i="4" s="1"/>
  <c r="I30" i="4"/>
  <c r="W58" i="4"/>
  <c r="P47" i="4"/>
  <c r="W51" i="4"/>
  <c r="P40" i="4"/>
  <c r="V29" i="4"/>
  <c r="W29" i="4" s="1"/>
  <c r="V44" i="4"/>
  <c r="M8" i="18" s="1"/>
  <c r="T44" i="4"/>
  <c r="T37" i="4"/>
  <c r="V37" i="4"/>
  <c r="M7" i="18" s="1"/>
  <c r="V12" i="4"/>
  <c r="I16" i="4"/>
  <c r="T16" i="4" s="1"/>
  <c r="W16" i="4" s="1"/>
  <c r="I14" i="4"/>
  <c r="V14" i="4" s="1"/>
  <c r="W14" i="4" s="1"/>
  <c r="I13" i="4"/>
  <c r="V13" i="4" s="1"/>
  <c r="W13" i="4" s="1"/>
  <c r="I28" i="4"/>
  <c r="V28" i="4" s="1"/>
  <c r="W28" i="4" s="1"/>
  <c r="I27" i="4"/>
  <c r="V26" i="4"/>
  <c r="I19" i="4"/>
  <c r="V19" i="4" s="1"/>
  <c r="I7" i="4"/>
  <c r="I6" i="4"/>
  <c r="V6" i="4" s="1"/>
  <c r="I9" i="4"/>
  <c r="T9" i="4" s="1"/>
  <c r="V5" i="4"/>
  <c r="P19" i="4"/>
  <c r="P12" i="4"/>
  <c r="P33" i="4"/>
  <c r="P31" i="4"/>
  <c r="P26" i="4"/>
  <c r="W34" i="4"/>
  <c r="AG32" i="4"/>
  <c r="Q7" i="18" s="1"/>
  <c r="AE32" i="4"/>
  <c r="AB32" i="4"/>
  <c r="AC32" i="4" s="1"/>
  <c r="P7" i="18" s="1"/>
  <c r="AG11" i="4"/>
  <c r="Q4" i="18" s="1"/>
  <c r="AE11" i="4"/>
  <c r="AC11" i="4"/>
  <c r="P4" i="18" s="1"/>
  <c r="AB4" i="4"/>
  <c r="AC4" i="4" s="1"/>
  <c r="P3" i="18" s="1"/>
  <c r="AG4" i="4"/>
  <c r="Q3" i="18" s="1"/>
  <c r="F37" i="20" l="1"/>
  <c r="K37" i="20"/>
  <c r="J37" i="20"/>
  <c r="G37" i="20"/>
  <c r="O4" i="18"/>
  <c r="O7" i="18"/>
  <c r="M4" i="18"/>
  <c r="M3" i="18"/>
  <c r="AH4" i="4"/>
  <c r="N3" i="18" s="1"/>
  <c r="AH11" i="4"/>
  <c r="N4" i="18" s="1"/>
  <c r="AH32" i="4"/>
  <c r="N7" i="18" s="1"/>
  <c r="R82" i="4"/>
  <c r="R75" i="4"/>
  <c r="R68" i="4"/>
  <c r="R61" i="4"/>
  <c r="R47" i="4"/>
  <c r="R54" i="4"/>
  <c r="W37" i="4"/>
  <c r="R40" i="4"/>
  <c r="T30" i="4"/>
  <c r="V30" i="4"/>
  <c r="W44" i="4"/>
  <c r="R26" i="4"/>
  <c r="R33" i="4"/>
  <c r="R31" i="4"/>
  <c r="V27" i="4"/>
  <c r="W27" i="4" s="1"/>
  <c r="R5" i="4"/>
  <c r="R19" i="4"/>
  <c r="R12" i="4"/>
  <c r="I20" i="4"/>
  <c r="V20" i="4" s="1"/>
  <c r="W20" i="4" s="1"/>
  <c r="I23" i="4"/>
  <c r="T23" i="4" s="1"/>
  <c r="W23" i="4" s="1"/>
  <c r="I21" i="4"/>
  <c r="V21" i="4" s="1"/>
  <c r="W21" i="4" s="1"/>
  <c r="P8" i="5"/>
  <c r="P17" i="5"/>
  <c r="P12" i="5"/>
  <c r="P11" i="5"/>
  <c r="P5" i="5"/>
  <c r="P6" i="5"/>
  <c r="P7" i="5"/>
  <c r="P4" i="5"/>
  <c r="H38" i="20" l="1"/>
  <c r="H37" i="20" s="1"/>
  <c r="L38" i="20"/>
  <c r="L37" i="20" s="1"/>
  <c r="I37" i="20"/>
  <c r="N82" i="4"/>
  <c r="W82" i="4" s="1"/>
  <c r="N54" i="4"/>
  <c r="N40" i="4"/>
  <c r="W40" i="4" s="1"/>
  <c r="N75" i="4"/>
  <c r="N47" i="4"/>
  <c r="N68" i="4"/>
  <c r="W68" i="4" s="1"/>
  <c r="N61" i="4"/>
  <c r="W61" i="4" s="1"/>
  <c r="N5" i="4"/>
  <c r="W47" i="4"/>
  <c r="K9" i="18" s="1"/>
  <c r="W54" i="4"/>
  <c r="M5" i="18"/>
  <c r="M6" i="18"/>
  <c r="AI53" i="4"/>
  <c r="R10" i="18" s="1"/>
  <c r="K10" i="18"/>
  <c r="W75" i="4"/>
  <c r="W30" i="4"/>
  <c r="W5" i="4"/>
  <c r="N12" i="4"/>
  <c r="W12" i="4" s="1"/>
  <c r="N33" i="4"/>
  <c r="W33" i="4" s="1"/>
  <c r="N26" i="4"/>
  <c r="N31" i="4"/>
  <c r="W31" i="4" s="1"/>
  <c r="W38" i="4"/>
  <c r="N19" i="4"/>
  <c r="W19" i="4" s="1"/>
  <c r="W9" i="4"/>
  <c r="W6" i="4"/>
  <c r="AM10" i="4"/>
  <c r="AM6" i="4"/>
  <c r="AM7" i="4"/>
  <c r="AM8" i="4"/>
  <c r="AM9" i="4"/>
  <c r="AM5" i="4"/>
  <c r="K7" i="18" l="1"/>
  <c r="L7" i="18" s="1"/>
  <c r="K8" i="18"/>
  <c r="L8" i="18" s="1"/>
  <c r="AI39" i="4"/>
  <c r="R8" i="18" s="1"/>
  <c r="K11" i="18"/>
  <c r="AI60" i="4"/>
  <c r="R11" i="18" s="1"/>
  <c r="S11" i="18" s="1"/>
  <c r="K12" i="18"/>
  <c r="AI67" i="4"/>
  <c r="R12" i="18" s="1"/>
  <c r="AI81" i="4"/>
  <c r="R14" i="18" s="1"/>
  <c r="S14" i="18" s="1"/>
  <c r="K14" i="18"/>
  <c r="L14" i="18" s="1"/>
  <c r="AI46" i="4"/>
  <c r="R9" i="18" s="1"/>
  <c r="K4" i="18"/>
  <c r="L4" i="18" s="1"/>
  <c r="K3" i="18"/>
  <c r="L3" i="18" s="1"/>
  <c r="W26" i="4"/>
  <c r="AI25" i="4" s="1"/>
  <c r="R6" i="18" s="1"/>
  <c r="L6" i="18"/>
  <c r="L10" i="18"/>
  <c r="L9" i="18"/>
  <c r="S10" i="18"/>
  <c r="S8" i="18"/>
  <c r="AI4" i="4"/>
  <c r="R3" i="18" s="1"/>
  <c r="AI18" i="4"/>
  <c r="R5" i="18" s="1"/>
  <c r="K5" i="18"/>
  <c r="AI11" i="4"/>
  <c r="R4" i="18" s="1"/>
  <c r="AI74" i="4"/>
  <c r="R13" i="18" s="1"/>
  <c r="K13" i="18"/>
  <c r="AI32" i="4"/>
  <c r="R7" i="18" s="1"/>
  <c r="E19" i="1"/>
  <c r="E20" i="1"/>
  <c r="E16" i="1"/>
  <c r="E15" i="1"/>
  <c r="E28" i="1"/>
  <c r="E26" i="1"/>
  <c r="E22" i="1"/>
  <c r="E21" i="1"/>
  <c r="E41" i="1"/>
  <c r="E5" i="1"/>
  <c r="E55" i="1"/>
  <c r="E6" i="1"/>
  <c r="E42" i="1"/>
  <c r="E58" i="1"/>
  <c r="E57" i="1"/>
  <c r="E50" i="1"/>
  <c r="E48" i="1"/>
  <c r="E54" i="1"/>
  <c r="E53" i="1"/>
  <c r="E51" i="1"/>
  <c r="E47" i="1"/>
  <c r="E52" i="1"/>
  <c r="E37" i="1"/>
  <c r="E29" i="1"/>
  <c r="E27" i="1"/>
  <c r="E18" i="1"/>
  <c r="E17" i="1"/>
  <c r="E32" i="1"/>
  <c r="E31" i="1"/>
  <c r="E13" i="1"/>
  <c r="E12" i="1"/>
  <c r="E46" i="1"/>
  <c r="E7" i="1"/>
  <c r="E3" i="1"/>
  <c r="E2" i="1"/>
  <c r="E59" i="1"/>
  <c r="E49" i="1"/>
  <c r="E38" i="1"/>
  <c r="E30" i="1"/>
  <c r="E25" i="1"/>
  <c r="E36" i="1"/>
  <c r="L12" i="18" l="1"/>
  <c r="S9" i="18"/>
  <c r="S12" i="18"/>
  <c r="V12" i="18" s="1"/>
  <c r="L11" i="18"/>
  <c r="K6" i="18"/>
  <c r="L5" i="18"/>
  <c r="L13" i="18"/>
  <c r="S13" i="18"/>
  <c r="S4" i="18"/>
  <c r="V8" i="18"/>
  <c r="V10" i="18"/>
  <c r="S7" i="18"/>
  <c r="S6" i="18"/>
  <c r="S3" i="18"/>
  <c r="V3" i="18" s="1"/>
  <c r="V9" i="18"/>
  <c r="S5" i="18"/>
  <c r="V11" i="18"/>
  <c r="V14" i="18"/>
  <c r="R17" i="18"/>
  <c r="R16" i="18"/>
  <c r="E24" i="1"/>
  <c r="E11" i="1"/>
  <c r="E40" i="1"/>
  <c r="E44" i="1"/>
  <c r="E39" i="1"/>
  <c r="E43" i="1"/>
  <c r="E35" i="1"/>
  <c r="E23" i="1"/>
  <c r="V6" i="18" l="1"/>
  <c r="V4" i="18"/>
  <c r="V5" i="18"/>
  <c r="V7" i="18"/>
  <c r="V13" i="18"/>
  <c r="E9" i="1"/>
  <c r="E10" i="1"/>
  <c r="Y3" i="18" l="1" a="1"/>
  <c r="Y6" i="18" s="1"/>
  <c r="Z6" i="18" s="1"/>
  <c r="E56" i="1"/>
  <c r="E34" i="1"/>
  <c r="E33" i="1"/>
  <c r="E4" i="1"/>
  <c r="E14" i="1"/>
  <c r="E45" i="1"/>
  <c r="E8" i="1"/>
  <c r="Y14" i="18" l="1"/>
  <c r="Z14" i="18" s="1"/>
  <c r="Y13" i="18"/>
  <c r="Z13" i="18" s="1"/>
  <c r="Y11" i="18"/>
  <c r="Z11" i="18" s="1"/>
  <c r="Y12" i="18"/>
  <c r="Z12" i="18" s="1"/>
  <c r="Y10" i="18"/>
  <c r="Z10" i="18" s="1"/>
  <c r="Y4" i="18"/>
  <c r="Z4" i="18" s="1"/>
  <c r="Y7" i="18"/>
  <c r="Z7" i="18" s="1"/>
  <c r="Y9" i="18"/>
  <c r="Z9" i="18" s="1"/>
  <c r="Y5" i="18"/>
  <c r="Z5" i="18" s="1"/>
  <c r="Y3" i="18"/>
  <c r="Z3" i="18" s="1"/>
  <c r="Y8" i="18"/>
  <c r="Z8" i="18" s="1"/>
  <c r="H13" i="20" l="1"/>
  <c r="H14" i="20"/>
  <c r="H12" i="20"/>
  <c r="H11" i="20"/>
  <c r="H9" i="20" l="1"/>
  <c r="H2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Paukson Martin (EXT)</author>
  </authors>
  <commentList>
    <comment ref="L29" authorId="0" shapeId="0" xr:uid="{00000000-0006-0000-0200-000003000000}">
      <text>
        <r>
          <rPr>
            <b/>
            <sz val="9"/>
            <color indexed="81"/>
            <rFont val="Tahoma"/>
            <family val="2"/>
          </rPr>
          <t>Paukson Martin (EXT):</t>
        </r>
        <r>
          <rPr>
            <sz val="9"/>
            <color indexed="81"/>
            <rFont val="Tahoma"/>
            <family val="2"/>
          </rPr>
          <t xml:space="preserve">
Liita teenusega 1.3?</t>
        </r>
      </text>
    </comment>
    <comment ref="J39" authorId="0" shapeId="0" xr:uid="{00000000-0006-0000-0200-000002000000}">
      <text>
        <r>
          <rPr>
            <b/>
            <sz val="9"/>
            <color indexed="81"/>
            <rFont val="Tahoma"/>
            <family val="2"/>
          </rPr>
          <t>Paukson Martin (EXT):</t>
        </r>
        <r>
          <rPr>
            <sz val="9"/>
            <color indexed="81"/>
            <rFont val="Tahoma"/>
            <family val="2"/>
          </rPr>
          <t xml:space="preserve">
Kasutajateenus (juhul kui automaatelt andmeid ei saa)</t>
        </r>
      </text>
    </comment>
    <comment ref="J48" authorId="0" shapeId="0" xr:uid="{00000000-0006-0000-0200-000001000000}">
      <text>
        <r>
          <rPr>
            <b/>
            <sz val="9"/>
            <color indexed="81"/>
            <rFont val="Tahoma"/>
            <family val="2"/>
          </rPr>
          <t>Paukson Martin (EXT):</t>
        </r>
        <r>
          <rPr>
            <sz val="9"/>
            <color indexed="81"/>
            <rFont val="Tahoma"/>
            <family val="2"/>
          </rPr>
          <t xml:space="preserve">
Kasutajateenus tootjatele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Mati</author>
  </authors>
  <commentList>
    <comment ref="R2" authorId="0" shapeId="0" xr:uid="{00000000-0006-0000-0400-000001000000}">
      <text>
        <r>
          <rPr>
            <sz val="9"/>
            <color indexed="81"/>
            <rFont val="Tahoma"/>
            <family val="2"/>
          </rPr>
          <t xml:space="preserve">Puhastulu=otsene tulu-teenuse kulu kokku
</t>
        </r>
      </text>
    </comment>
    <comment ref="U2" authorId="0" shapeId="0" xr:uid="{00000000-0006-0000-0400-000002000000}">
      <text>
        <r>
          <rPr>
            <b/>
            <sz val="9"/>
            <color indexed="81"/>
            <rFont val="Tahoma"/>
            <family val="2"/>
          </rPr>
          <t>8 Business transformation 
7 Strategic systems 
6 Inter-organizational systems 
5 Infrastructure 
4 MIS and DSS 
3 Direct value added systems 
2 Automation 
1 Mandatory changes</t>
        </r>
        <r>
          <rPr>
            <sz val="9"/>
            <color indexed="81"/>
            <rFont val="Tahoma"/>
            <family val="2"/>
          </rPr>
          <t xml:space="preserve">
</t>
        </r>
      </text>
    </comment>
    <comment ref="V2" authorId="0" shapeId="0" xr:uid="{00000000-0006-0000-0400-000003000000}">
      <text>
        <r>
          <rPr>
            <b/>
            <sz val="9"/>
            <color indexed="81"/>
            <rFont val="Tahoma"/>
            <family val="2"/>
          </rPr>
          <t xml:space="preserve">Vastavalt Puhastulu vahemikule on antud juurde 10-35 punkti
</t>
        </r>
        <r>
          <rPr>
            <sz val="9"/>
            <color indexed="81"/>
            <rFont val="Tahoma"/>
            <family val="2"/>
          </rPr>
          <t xml:space="preserve">
</t>
        </r>
      </text>
    </comment>
    <comment ref="K6" authorId="0" shapeId="0" xr:uid="{00000000-0006-0000-0400-000004000000}">
      <text>
        <r>
          <rPr>
            <b/>
            <sz val="9"/>
            <color indexed="81"/>
            <rFont val="Tahoma"/>
            <family val="2"/>
          </rPr>
          <t>Ei arvesta erasektori teenust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Mati</author>
    <author>Paukson Martin (EXT)</author>
    <author>tc={06353152-4609-49CD-BAD5-60F5543B7451}</author>
  </authors>
  <commentList>
    <comment ref="F3" authorId="0" shapeId="0" xr:uid="{00000000-0006-0000-0300-000001000000}">
      <text>
        <r>
          <rPr>
            <sz val="9"/>
            <color indexed="81"/>
            <rFont val="Tahoma"/>
            <family val="2"/>
            <charset val="186"/>
          </rPr>
          <t xml:space="preserve">Vastavalt teenuse iseloomule võimalik määrata kasutajate osakaal üldkogumist (taimekasvatustootjad)
</t>
        </r>
      </text>
    </comment>
    <comment ref="G3" authorId="0" shapeId="0" xr:uid="{00000000-0006-0000-0300-000002000000}">
      <text>
        <r>
          <rPr>
            <sz val="9"/>
            <color indexed="81"/>
            <rFont val="Tahoma"/>
            <family val="2"/>
          </rPr>
          <t xml:space="preserve">Vastavalt teenuse iseloomule võimalik määrata kasutajatele vastav osakaal max pindalast (taimekasvatustootjad)
</t>
        </r>
      </text>
    </comment>
    <comment ref="U3" authorId="0" shapeId="0" xr:uid="{00000000-0006-0000-0300-000003000000}">
      <text>
        <r>
          <rPr>
            <sz val="9"/>
            <color indexed="81"/>
            <rFont val="Tahoma"/>
            <family val="2"/>
          </rPr>
          <t xml:space="preserve">kuna objekt on põld, siis indikatiivselt iga objekti seiratakse ja siinkohal ümaradatakse 10 ha-le
</t>
        </r>
      </text>
    </comment>
    <comment ref="W3" authorId="0" shapeId="0" xr:uid="{00000000-0006-0000-0300-000004000000}">
      <text>
        <r>
          <rPr>
            <sz val="9"/>
            <color indexed="81"/>
            <rFont val="Tahoma"/>
            <family val="2"/>
          </rPr>
          <t xml:space="preserve">Otsene tulu=Ʃ(mõjutatud ühikud × maksumus × kokkuhoid) 
</t>
        </r>
      </text>
    </comment>
    <comment ref="AI3" authorId="0" shapeId="0" xr:uid="{00000000-0006-0000-0300-000007000000}">
      <text>
        <r>
          <rPr>
            <sz val="9"/>
            <color indexed="81"/>
            <rFont val="Tahoma"/>
            <family val="2"/>
          </rPr>
          <t xml:space="preserve">Puhastulu=otsene tulu-teenuse kulu kokku
</t>
        </r>
      </text>
    </comment>
    <comment ref="AJ3" authorId="0" shapeId="0" xr:uid="{00000000-0006-0000-0300-000008000000}">
      <text>
        <r>
          <rPr>
            <b/>
            <sz val="9"/>
            <color indexed="81"/>
            <rFont val="Tahoma"/>
            <family val="2"/>
          </rPr>
          <t>Mõjususe kasuteguri indikaatorid (skaalal 0-5)</t>
        </r>
        <r>
          <rPr>
            <sz val="9"/>
            <color indexed="81"/>
            <rFont val="Tahoma"/>
            <family val="2"/>
          </rPr>
          <t xml:space="preserve">
Teenuste kättesaadavus suureneb
Keskkonnanäitajate paranemine
Täpisviljelus areneb
Teaduslike analüüside täpsus ja kiirus suureneb
Rohkem teenuseid
Laboratoorsete testide kättesaadavus
Rohkem uute teadusprojektide raha
Nõustamise mõju suurenemine
Analüüsivõimekuse kasv
Demokraatia suurenemine
Läbipaistvuse suurenemine
Tootmisriskide vähenemine
Kasutajate rahulolu suureneb</t>
        </r>
        <r>
          <rPr>
            <b/>
            <sz val="9"/>
            <color indexed="81"/>
            <rFont val="Tahoma"/>
            <family val="2"/>
          </rPr>
          <t xml:space="preserve">
</t>
        </r>
        <r>
          <rPr>
            <sz val="9"/>
            <color indexed="81"/>
            <rFont val="Tahoma"/>
            <family val="2"/>
          </rPr>
          <t xml:space="preserve">
</t>
        </r>
      </text>
    </comment>
    <comment ref="AL3" authorId="0" shapeId="0" xr:uid="{00000000-0006-0000-0300-000009000000}">
      <text>
        <r>
          <rPr>
            <b/>
            <sz val="9"/>
            <color indexed="81"/>
            <rFont val="Tahoma"/>
            <family val="2"/>
          </rPr>
          <t>8 Business transformation 
7 Strategic systems 
6 Inter-organizational systems 
5 Infrastructure 
4 MIS and DSS 
3 Direct value added systems 
2 Automation 
1 Mandatory changes</t>
        </r>
        <r>
          <rPr>
            <sz val="9"/>
            <color indexed="81"/>
            <rFont val="Tahoma"/>
            <family val="2"/>
          </rPr>
          <t xml:space="preserve">
</t>
        </r>
      </text>
    </comment>
    <comment ref="I4" authorId="0" shapeId="0" xr:uid="{00000000-0006-0000-0300-00000A000000}">
      <text>
        <r>
          <rPr>
            <sz val="9"/>
            <color indexed="81"/>
            <rFont val="Tahoma"/>
            <family val="2"/>
          </rPr>
          <t xml:space="preserve">Üldkogum
</t>
        </r>
      </text>
    </comment>
    <comment ref="AB4" authorId="0" shapeId="0" xr:uid="{00000000-0006-0000-0300-00000B000000}">
      <text>
        <r>
          <rPr>
            <sz val="9"/>
            <color indexed="81"/>
            <rFont val="Tahoma"/>
            <family val="2"/>
          </rPr>
          <t xml:space="preserve">8 nädalat ca 2300 vaatlust + tootjatelt ja nõustajatelt saadud info töötlemine
</t>
        </r>
      </text>
    </comment>
    <comment ref="D5" authorId="0" shapeId="0" xr:uid="{00000000-0006-0000-0300-00000C000000}">
      <text>
        <r>
          <rPr>
            <sz val="9"/>
            <color indexed="81"/>
            <rFont val="Tahoma"/>
            <family val="2"/>
          </rPr>
          <t xml:space="preserve">mahe- ja tavatootjate erisused on ilmselt olulised, aga hetkel erisusi ei ole sisse toodud
</t>
        </r>
      </text>
    </comment>
    <comment ref="S9" authorId="0" shapeId="0" xr:uid="{00000000-0006-0000-0300-00000D000000}">
      <text>
        <r>
          <rPr>
            <sz val="9"/>
            <color indexed="81"/>
            <rFont val="Tahoma"/>
            <family val="2"/>
          </rPr>
          <t>keerukas hinnata, vajalikud andmed puuduvad - ebaõigel ajal teostatud taimekaitse keskkonnakahju ja  selle vähenemine teenuse tõttu</t>
        </r>
      </text>
    </comment>
    <comment ref="I11" authorId="0" shapeId="0" xr:uid="{00000000-0006-0000-0300-00000E000000}">
      <text>
        <r>
          <rPr>
            <sz val="9"/>
            <color indexed="81"/>
            <rFont val="Tahoma"/>
            <family val="2"/>
          </rPr>
          <t xml:space="preserve">Üldkogum
</t>
        </r>
      </text>
    </comment>
    <comment ref="D12" authorId="0" shapeId="0" xr:uid="{00000000-0006-0000-0300-00000F000000}">
      <text>
        <r>
          <rPr>
            <sz val="9"/>
            <color indexed="81"/>
            <rFont val="Tahoma"/>
            <family val="2"/>
          </rPr>
          <t xml:space="preserve">mahe- ja tavatootjate erisused on ilmselt olulised, aga hetkel erisusi ei ole sisse toodud
</t>
        </r>
      </text>
    </comment>
    <comment ref="T16" authorId="0" shapeId="0" xr:uid="{00000000-0006-0000-0300-000010000000}">
      <text>
        <r>
          <rPr>
            <sz val="9"/>
            <color indexed="81"/>
            <rFont val="Tahoma"/>
            <family val="2"/>
          </rPr>
          <t xml:space="preserve">aluseks võetud CO2 emissoon ja C02 maksumus. CO2 tonnihind 29,0 € EUA 2019. CO2 emissioon muldadest leidmiseks Corg varu muutus korrutatakse 44/12-ga=CO2 emissioon t/ha/a3. ÜPT toetuse Corg varu muutus on -1.2-1.6 t/ha ehk 4.39-5.87 t/ha
</t>
        </r>
      </text>
    </comment>
    <comment ref="I18" authorId="0" shapeId="0" xr:uid="{00000000-0006-0000-0300-000011000000}">
      <text>
        <r>
          <rPr>
            <sz val="9"/>
            <color indexed="81"/>
            <rFont val="Tahoma"/>
            <family val="2"/>
          </rPr>
          <t xml:space="preserve">Üldkogum
</t>
        </r>
      </text>
    </comment>
    <comment ref="D19" authorId="0" shapeId="0" xr:uid="{00000000-0006-0000-0300-000012000000}">
      <text>
        <r>
          <rPr>
            <sz val="9"/>
            <color indexed="81"/>
            <rFont val="Tahoma"/>
            <family val="2"/>
          </rPr>
          <t xml:space="preserve">mahe- ja tavatootjate erisused on ilmselt olulised, aga hetkel erisusi ei ole sisse toodud
</t>
        </r>
      </text>
    </comment>
    <comment ref="M19" authorId="0" shapeId="0" xr:uid="{00000000-0006-0000-0300-000013000000}">
      <text>
        <r>
          <rPr>
            <sz val="9"/>
            <color indexed="81"/>
            <rFont val="Tahoma"/>
            <family val="2"/>
          </rPr>
          <t>saagi suurenemine jaguneb huumusbilansi kalkulaatori ja NPK kalkulaatori vahel</t>
        </r>
      </text>
    </comment>
    <comment ref="T23" authorId="0" shapeId="0" xr:uid="{00000000-0006-0000-0300-000014000000}">
      <text>
        <r>
          <rPr>
            <sz val="9"/>
            <color indexed="81"/>
            <rFont val="Tahoma"/>
            <family val="2"/>
            <charset val="186"/>
          </rPr>
          <t xml:space="preserve">toiteelemendid mõjutavad pinna- ja põhjavee kvaliteeti. Veekaitsenõuete hindamisel leitud, et tavatootmises leostub n 52 kg/ha/a ja P 0.36 kg/ha/a. Mahetootmises N 20  kg/ha/a ja P 0.30 kg/ha/a. NTA alal keskmiselt  N 40  kg/ha/a ja P 0.36 kg/ha/a. Leostumine sõltub väetamise kogusest ja sademete hulgast. Allikas: Loigu et al, 2012, Loigu ja Iital 2011; PMK MAK 2007-2013 seireandmed. </t>
        </r>
        <r>
          <rPr>
            <b/>
            <sz val="9"/>
            <color indexed="81"/>
            <rFont val="Tahoma"/>
            <family val="2"/>
          </rPr>
          <t xml:space="preserve">Kasutame leostumist N 45 kg/ha/a ja arvutame elemendi kaost kokkuhoiu, kus elemendi hind on 0.8 €/kg (NPK väetis 285 €/t).
</t>
        </r>
        <r>
          <rPr>
            <sz val="9"/>
            <color indexed="81"/>
            <rFont val="Tahoma"/>
            <family val="2"/>
            <charset val="186"/>
          </rPr>
          <t xml:space="preserve">
</t>
        </r>
      </text>
    </comment>
    <comment ref="I25" authorId="0" shapeId="0" xr:uid="{00000000-0006-0000-0300-000015000000}">
      <text>
        <r>
          <rPr>
            <sz val="9"/>
            <color indexed="81"/>
            <rFont val="Tahoma"/>
            <family val="2"/>
          </rPr>
          <t xml:space="preserve">Üldkogum
</t>
        </r>
      </text>
    </comment>
    <comment ref="AE25" authorId="1" shapeId="0" xr:uid="{ED9C47FF-5807-4435-9876-23C4F3414717}">
      <text>
        <r>
          <rPr>
            <sz val="9"/>
            <color indexed="81"/>
            <rFont val="Tahoma"/>
            <family val="2"/>
            <charset val="186"/>
          </rPr>
          <t xml:space="preserve">Paketthinnag 
720000 KM-ta
864000 KM-ga
</t>
        </r>
      </text>
    </comment>
    <comment ref="D26" authorId="0" shapeId="0" xr:uid="{00000000-0006-0000-0300-000016000000}">
      <text>
        <r>
          <rPr>
            <sz val="9"/>
            <color indexed="81"/>
            <rFont val="Tahoma"/>
            <family val="2"/>
          </rPr>
          <t xml:space="preserve">mahe- ja tavatootjate erisused on ilmselt olulised, aga hetkel erisusi ei ole sisse toodud
</t>
        </r>
      </text>
    </comment>
    <comment ref="L26" authorId="0" shapeId="0" xr:uid="{00000000-0006-0000-0300-000017000000}">
      <text>
        <r>
          <rPr>
            <sz val="9"/>
            <color indexed="81"/>
            <rFont val="Tahoma"/>
            <family val="2"/>
          </rPr>
          <t>https://confluence.agri.ee/pages/viewpage.action?pageId=60981496</t>
        </r>
        <r>
          <rPr>
            <sz val="9"/>
            <color indexed="81"/>
            <rFont val="Tahoma"/>
            <family val="2"/>
            <charset val="186"/>
          </rPr>
          <t xml:space="preserve">
</t>
        </r>
      </text>
    </comment>
    <comment ref="M26" authorId="0" shapeId="0" xr:uid="{00000000-0006-0000-0300-000018000000}">
      <text>
        <r>
          <rPr>
            <sz val="9"/>
            <color indexed="81"/>
            <rFont val="Tahoma"/>
            <family val="2"/>
          </rPr>
          <t>minimaalne põlluraamat aitab kokku hoida üksnes aega. Saagiga seotud tulemused ei parane</t>
        </r>
      </text>
    </comment>
    <comment ref="V29" authorId="0" shapeId="0" xr:uid="{00000000-0006-0000-0300-000019000000}">
      <text>
        <r>
          <rPr>
            <sz val="9"/>
            <color indexed="81"/>
            <rFont val="Tahoma"/>
            <family val="2"/>
          </rPr>
          <t xml:space="preserve">arvutatakse tootja ehk kliendi põhiselt
</t>
        </r>
      </text>
    </comment>
    <comment ref="S30" authorId="0" shapeId="0" xr:uid="{00000000-0006-0000-0300-00001A000000}">
      <text>
        <r>
          <rPr>
            <sz val="9"/>
            <color indexed="81"/>
            <rFont val="Tahoma"/>
            <family val="2"/>
          </rPr>
          <t>keerukas hinnata, vajalikud andmed ja võrdlused puuduvad. Digitaalne raamat ei paranda keskkonda</t>
        </r>
      </text>
    </comment>
    <comment ref="M31" authorId="0" shapeId="0" xr:uid="{00000000-0006-0000-0300-00001B000000}">
      <text>
        <r>
          <rPr>
            <sz val="9"/>
            <color indexed="81"/>
            <rFont val="Tahoma"/>
            <family val="2"/>
          </rPr>
          <t xml:space="preserve">täiendvad teenuse aitavad tulu suurendada.
</t>
        </r>
      </text>
    </comment>
    <comment ref="W31" authorId="0" shapeId="0" xr:uid="{00000000-0006-0000-0300-00001C000000}">
      <text>
        <r>
          <rPr>
            <b/>
            <sz val="9"/>
            <color indexed="81"/>
            <rFont val="Tahoma"/>
            <family val="2"/>
          </rPr>
          <t>Hetkel ei võta arvesse</t>
        </r>
        <r>
          <rPr>
            <sz val="9"/>
            <color indexed="81"/>
            <rFont val="Tahoma"/>
            <family val="2"/>
          </rPr>
          <t xml:space="preserve">
</t>
        </r>
      </text>
    </comment>
    <comment ref="AH31" authorId="0" shapeId="0" xr:uid="{00000000-0006-0000-0300-00001D000000}">
      <text>
        <r>
          <rPr>
            <b/>
            <sz val="9"/>
            <color indexed="81"/>
            <rFont val="Tahoma"/>
            <family val="2"/>
          </rPr>
          <t>Hetkel ei võta arvesse</t>
        </r>
        <r>
          <rPr>
            <sz val="9"/>
            <color indexed="81"/>
            <rFont val="Tahoma"/>
            <family val="2"/>
          </rPr>
          <t xml:space="preserve">
</t>
        </r>
      </text>
    </comment>
    <comment ref="I32" authorId="0" shapeId="0" xr:uid="{00000000-0006-0000-0300-00001E000000}">
      <text>
        <r>
          <rPr>
            <sz val="9"/>
            <color indexed="81"/>
            <rFont val="Tahoma"/>
            <family val="2"/>
          </rPr>
          <t xml:space="preserve">Üldkogum
</t>
        </r>
      </text>
    </comment>
    <comment ref="Z32" authorId="0" shapeId="0" xr:uid="{00000000-0006-0000-0300-00001F000000}">
      <text>
        <r>
          <rPr>
            <sz val="9"/>
            <color indexed="81"/>
            <rFont val="Tahoma"/>
            <family val="2"/>
          </rPr>
          <t xml:space="preserve">e-põlluraamatu täiendav funktsionaalsus. Liidest ei vaja
</t>
        </r>
      </text>
    </comment>
    <comment ref="D33" authorId="0" shapeId="0" xr:uid="{00000000-0006-0000-0300-000020000000}">
      <text>
        <r>
          <rPr>
            <sz val="9"/>
            <color indexed="81"/>
            <rFont val="Tahoma"/>
            <family val="2"/>
          </rPr>
          <t xml:space="preserve">mahe- ja tavatootjate erisused on ilmselt olulised, aga hetkel erisusi ei ole sisse toodud
</t>
        </r>
      </text>
    </comment>
    <comment ref="M33" authorId="0" shapeId="0" xr:uid="{00000000-0006-0000-0300-000021000000}">
      <text>
        <r>
          <rPr>
            <sz val="9"/>
            <color indexed="81"/>
            <rFont val="Tahoma"/>
            <family val="2"/>
          </rPr>
          <t>minimaalne põlluraamat aitab kokku hoida üksnes aega. Saagiga seotud tulemused ei parane</t>
        </r>
      </text>
    </comment>
    <comment ref="S37" authorId="0" shapeId="0" xr:uid="{00000000-0006-0000-0300-000022000000}">
      <text>
        <r>
          <rPr>
            <sz val="9"/>
            <color indexed="81"/>
            <rFont val="Tahoma"/>
            <family val="2"/>
          </rPr>
          <t xml:space="preserve">keerukas hinnata, vajalikud andmed ja võrdlused puuduvad. 
</t>
        </r>
      </text>
    </comment>
    <comment ref="I39" authorId="0" shapeId="0" xr:uid="{00000000-0006-0000-0300-000023000000}">
      <text>
        <r>
          <rPr>
            <sz val="9"/>
            <color indexed="81"/>
            <rFont val="Tahoma"/>
            <family val="2"/>
          </rPr>
          <t xml:space="preserve">Üldkogum
</t>
        </r>
      </text>
    </comment>
    <comment ref="D40" authorId="0" shapeId="0" xr:uid="{00000000-0006-0000-0300-000024000000}">
      <text>
        <r>
          <rPr>
            <sz val="9"/>
            <color indexed="81"/>
            <rFont val="Tahoma"/>
            <family val="2"/>
          </rPr>
          <t xml:space="preserve">mahe- ja tavatootjate erisused on ilmselt olulised, aga hetkel erisusi ei ole sisse toodud
</t>
        </r>
      </text>
    </comment>
    <comment ref="S44" authorId="0" shapeId="0" xr:uid="{00000000-0006-0000-0300-000025000000}">
      <text>
        <r>
          <rPr>
            <sz val="9"/>
            <color indexed="81"/>
            <rFont val="Tahoma"/>
            <family val="2"/>
          </rPr>
          <t xml:space="preserve">keerukas hinnata, vajalikud andmed ja võrdlused puuduvad. 
</t>
        </r>
      </text>
    </comment>
    <comment ref="I46" authorId="0" shapeId="0" xr:uid="{00000000-0006-0000-0300-000026000000}">
      <text>
        <r>
          <rPr>
            <sz val="9"/>
            <color indexed="81"/>
            <rFont val="Tahoma"/>
            <family val="2"/>
          </rPr>
          <t xml:space="preserve">Üldkogum
</t>
        </r>
      </text>
    </comment>
    <comment ref="D47" authorId="0" shapeId="0" xr:uid="{00000000-0006-0000-0300-000027000000}">
      <text>
        <r>
          <rPr>
            <sz val="9"/>
            <color indexed="81"/>
            <rFont val="Tahoma"/>
            <family val="2"/>
          </rPr>
          <t xml:space="preserve">mahe- ja tavatootjate erisused on ilmselt olulised, aga hetkel erisusi ei ole sisse toodud
</t>
        </r>
      </text>
    </comment>
    <comment ref="S51" authorId="0" shapeId="0" xr:uid="{00000000-0006-0000-0300-000028000000}">
      <text>
        <r>
          <rPr>
            <sz val="9"/>
            <color indexed="81"/>
            <rFont val="Tahoma"/>
            <family val="2"/>
          </rPr>
          <t xml:space="preserve">keerukas hinnata, vajalikud andmed ja võrdlused puuduvad. 
</t>
        </r>
      </text>
    </comment>
    <comment ref="I53" authorId="0" shapeId="0" xr:uid="{00000000-0006-0000-0300-000029000000}">
      <text>
        <r>
          <rPr>
            <sz val="9"/>
            <color indexed="81"/>
            <rFont val="Tahoma"/>
            <family val="2"/>
          </rPr>
          <t xml:space="preserve">Üldkogum
</t>
        </r>
      </text>
    </comment>
    <comment ref="AB53" authorId="2" shapeId="0" xr:uid="{06353152-4609-49CD-BAD5-60F5543B7451}">
      <text>
        <r>
          <rPr>
            <sz val="11"/>
            <color theme="1"/>
            <rFont val="Calibri"/>
            <family val="2"/>
            <charset val="186"/>
            <scheme val="minor"/>
          </rPr>
          <t xml:space="preserve">[Lõimkommentaar]
Teie Exceli versioon võimaldab teil seda lõimkommentaari lugeda, ent kõik sellesse tehtud muudatused eemaldatakse, kui fail avatakse Exceli uuemas versioonis. Lisateavet leiate siit: https://go.microsoft.com/fwlink/?linkid=870924.
Kommentaar:
    registri kohta 2 nädalat aastas andmehõivet ja töötlemist; Arendus registri kohta 1 kuu
</t>
        </r>
      </text>
    </comment>
    <comment ref="D54" authorId="0" shapeId="0" xr:uid="{00000000-0006-0000-0300-00002A000000}">
      <text>
        <r>
          <rPr>
            <sz val="9"/>
            <color indexed="81"/>
            <rFont val="Tahoma"/>
            <family val="2"/>
          </rPr>
          <t xml:space="preserve">mahe- ja tavatootjate erisused on ilmselt olulised, aga hetkel erisusi ei ole sisse toodud
</t>
        </r>
      </text>
    </comment>
    <comment ref="S58" authorId="0" shapeId="0" xr:uid="{00000000-0006-0000-0300-00002B000000}">
      <text>
        <r>
          <rPr>
            <sz val="9"/>
            <color indexed="81"/>
            <rFont val="Tahoma"/>
            <family val="2"/>
          </rPr>
          <t xml:space="preserve">keerukas hinnata, vajalikud andmed ja võrdlused puuduvad. 
</t>
        </r>
      </text>
    </comment>
    <comment ref="I60" authorId="0" shapeId="0" xr:uid="{00000000-0006-0000-0300-00002C000000}">
      <text>
        <r>
          <rPr>
            <sz val="9"/>
            <color indexed="81"/>
            <rFont val="Tahoma"/>
            <family val="2"/>
          </rPr>
          <t xml:space="preserve">Üldkogum
</t>
        </r>
      </text>
    </comment>
    <comment ref="AB60" authorId="0" shapeId="0" xr:uid="{00000000-0006-0000-0300-00002D000000}">
      <text>
        <r>
          <rPr>
            <sz val="9"/>
            <color indexed="81"/>
            <rFont val="Tahoma"/>
            <family val="2"/>
          </rPr>
          <t xml:space="preserve">üksnes andmebaasiga seotud tegevused
</t>
        </r>
      </text>
    </comment>
    <comment ref="D61" authorId="0" shapeId="0" xr:uid="{00000000-0006-0000-0300-00002E000000}">
      <text>
        <r>
          <rPr>
            <sz val="9"/>
            <color indexed="81"/>
            <rFont val="Tahoma"/>
            <family val="2"/>
          </rPr>
          <t xml:space="preserve">mahe- ja tavatootjate erisused on ilmselt olulised, aga hetkel erisusi ei ole sisse toodud
</t>
        </r>
      </text>
    </comment>
    <comment ref="H61" authorId="0" shapeId="0" xr:uid="{00000000-0006-0000-0300-00002F000000}">
      <text>
        <r>
          <rPr>
            <sz val="9"/>
            <color indexed="81"/>
            <rFont val="Tahoma"/>
            <family val="2"/>
          </rPr>
          <t xml:space="preserve">valimi põhine, kui üldkogumi moodustab  7610 ettevõtet, kes on üle majandusliku suuruse alampiiri (standardtoodang üle 4000 €. 
</t>
        </r>
      </text>
    </comment>
    <comment ref="V61" authorId="0" shapeId="0" xr:uid="{00000000-0006-0000-0300-000030000000}">
      <text>
        <r>
          <rPr>
            <sz val="9"/>
            <color indexed="81"/>
            <rFont val="Tahoma"/>
            <family val="2"/>
          </rPr>
          <t xml:space="preserve">arvutatakse tootja ehk kliendi põhiselt
</t>
        </r>
      </text>
    </comment>
    <comment ref="V62" authorId="0" shapeId="0" xr:uid="{00000000-0006-0000-0300-000031000000}">
      <text>
        <r>
          <rPr>
            <sz val="9"/>
            <color indexed="81"/>
            <rFont val="Tahoma"/>
            <family val="2"/>
          </rPr>
          <t xml:space="preserve">arvutatakse tootja ehk kliendi põhiselt
</t>
        </r>
      </text>
    </comment>
    <comment ref="V63" authorId="0" shapeId="0" xr:uid="{00000000-0006-0000-0300-000032000000}">
      <text>
        <r>
          <rPr>
            <sz val="9"/>
            <color indexed="81"/>
            <rFont val="Tahoma"/>
            <family val="2"/>
          </rPr>
          <t xml:space="preserve">arvutatakse tootja ehk kliendi põhiselt
</t>
        </r>
      </text>
    </comment>
    <comment ref="V64" authorId="0" shapeId="0" xr:uid="{00000000-0006-0000-0300-000033000000}">
      <text>
        <r>
          <rPr>
            <sz val="9"/>
            <color indexed="81"/>
            <rFont val="Tahoma"/>
            <family val="2"/>
          </rPr>
          <t xml:space="preserve">arvutatakse tootja ehk kliendi põhiselt
</t>
        </r>
      </text>
    </comment>
    <comment ref="S65" authorId="0" shapeId="0" xr:uid="{00000000-0006-0000-0300-000034000000}">
      <text>
        <r>
          <rPr>
            <sz val="9"/>
            <color indexed="81"/>
            <rFont val="Tahoma"/>
            <family val="2"/>
          </rPr>
          <t xml:space="preserve">keerukas hinnata, vajalikud andmed ja võrdlused puuduvad. 
</t>
        </r>
      </text>
    </comment>
    <comment ref="V65" authorId="0" shapeId="0" xr:uid="{00000000-0006-0000-0300-000035000000}">
      <text>
        <r>
          <rPr>
            <sz val="9"/>
            <color indexed="81"/>
            <rFont val="Tahoma"/>
            <family val="2"/>
          </rPr>
          <t xml:space="preserve">arvutatakse tootja ehk kliendi põhiselt
</t>
        </r>
      </text>
    </comment>
    <comment ref="V66" authorId="0" shapeId="0" xr:uid="{00000000-0006-0000-0300-000036000000}">
      <text>
        <r>
          <rPr>
            <sz val="9"/>
            <color indexed="81"/>
            <rFont val="Tahoma"/>
            <family val="2"/>
          </rPr>
          <t xml:space="preserve">arvutatakse tootja ehk kliendi põhiselt
</t>
        </r>
      </text>
    </comment>
    <comment ref="I67" authorId="0" shapeId="0" xr:uid="{00000000-0006-0000-0300-000037000000}">
      <text>
        <r>
          <rPr>
            <sz val="9"/>
            <color indexed="81"/>
            <rFont val="Tahoma"/>
            <family val="2"/>
          </rPr>
          <t xml:space="preserve">Üldkogum
</t>
        </r>
      </text>
    </comment>
    <comment ref="D68" authorId="0" shapeId="0" xr:uid="{00000000-0006-0000-0300-000038000000}">
      <text>
        <r>
          <rPr>
            <sz val="9"/>
            <color indexed="81"/>
            <rFont val="Tahoma"/>
            <family val="2"/>
          </rPr>
          <t xml:space="preserve">mahe- ja tavatootjate erisused on ilmselt olulised, aga hetkel erisusi ei ole sisse toodud
</t>
        </r>
      </text>
    </comment>
    <comment ref="V68" authorId="0" shapeId="0" xr:uid="{00000000-0006-0000-0300-000039000000}">
      <text>
        <r>
          <rPr>
            <sz val="9"/>
            <color indexed="81"/>
            <rFont val="Tahoma"/>
            <family val="2"/>
          </rPr>
          <t xml:space="preserve">arvutatakse tootja ehk kliendi põhiselt
</t>
        </r>
      </text>
    </comment>
    <comment ref="V69" authorId="0" shapeId="0" xr:uid="{00000000-0006-0000-0300-00003A000000}">
      <text>
        <r>
          <rPr>
            <sz val="9"/>
            <color indexed="81"/>
            <rFont val="Tahoma"/>
            <family val="2"/>
          </rPr>
          <t xml:space="preserve">arvutatakse tootja ehk kliendi põhiselt
</t>
        </r>
      </text>
    </comment>
    <comment ref="S72" authorId="0" shapeId="0" xr:uid="{00000000-0006-0000-0300-00003B000000}">
      <text>
        <r>
          <rPr>
            <sz val="9"/>
            <color indexed="81"/>
            <rFont val="Tahoma"/>
            <family val="2"/>
          </rPr>
          <t>keerukas hinnata, vajalikud andmed puuduvad - ebaõigel ajal teostatud taimekaitse keskkonnakahju ja  selle vähenemine teenuse tõttu</t>
        </r>
      </text>
    </comment>
    <comment ref="I74" authorId="0" shapeId="0" xr:uid="{00000000-0006-0000-0300-00003C000000}">
      <text>
        <r>
          <rPr>
            <sz val="9"/>
            <color indexed="81"/>
            <rFont val="Tahoma"/>
            <family val="2"/>
          </rPr>
          <t xml:space="preserve">Üldkogum
</t>
        </r>
      </text>
    </comment>
    <comment ref="AB74" authorId="0" shapeId="0" xr:uid="{00000000-0006-0000-0300-00003D000000}">
      <text>
        <r>
          <rPr>
            <sz val="9"/>
            <color indexed="81"/>
            <rFont val="Tahoma"/>
            <family val="2"/>
          </rPr>
          <t xml:space="preserve">8 nädalat ca 2300 vaatlust + tootjatelt ja nõustajatelt saadud info töötlemine
</t>
        </r>
      </text>
    </comment>
    <comment ref="D75" authorId="0" shapeId="0" xr:uid="{00000000-0006-0000-0300-00003E000000}">
      <text>
        <r>
          <rPr>
            <sz val="9"/>
            <color indexed="81"/>
            <rFont val="Tahoma"/>
            <family val="2"/>
          </rPr>
          <t xml:space="preserve">mahe- ja tavatootjate erisused on ilmselt olulised, aga hetkel erisusi ei ole sisse toodud
</t>
        </r>
      </text>
    </comment>
    <comment ref="V75" authorId="0" shapeId="0" xr:uid="{00000000-0006-0000-0300-00003F000000}">
      <text>
        <r>
          <rPr>
            <sz val="9"/>
            <color indexed="81"/>
            <rFont val="Tahoma"/>
            <family val="2"/>
          </rPr>
          <t xml:space="preserve">arvutatakse tootja ehk kliendi põhiselt
</t>
        </r>
      </text>
    </comment>
    <comment ref="V76" authorId="0" shapeId="0" xr:uid="{00000000-0006-0000-0300-000040000000}">
      <text>
        <r>
          <rPr>
            <sz val="9"/>
            <color indexed="81"/>
            <rFont val="Tahoma"/>
            <family val="2"/>
          </rPr>
          <t xml:space="preserve">arvutatakse tootja ehk kliendi põhiselt
</t>
        </r>
      </text>
    </comment>
    <comment ref="V77" authorId="0" shapeId="0" xr:uid="{00000000-0006-0000-0300-000041000000}">
      <text>
        <r>
          <rPr>
            <sz val="9"/>
            <color indexed="81"/>
            <rFont val="Tahoma"/>
            <family val="2"/>
          </rPr>
          <t xml:space="preserve">arvutatakse tootja ehk kliendi põhiselt
</t>
        </r>
      </text>
    </comment>
    <comment ref="V78" authorId="0" shapeId="0" xr:uid="{00000000-0006-0000-0300-000042000000}">
      <text>
        <r>
          <rPr>
            <sz val="9"/>
            <color indexed="81"/>
            <rFont val="Tahoma"/>
            <family val="2"/>
          </rPr>
          <t xml:space="preserve">arvutatakse tootja ehk kliendi põhiselt
</t>
        </r>
      </text>
    </comment>
    <comment ref="S79" authorId="0" shapeId="0" xr:uid="{00000000-0006-0000-0300-000043000000}">
      <text>
        <r>
          <rPr>
            <sz val="9"/>
            <color indexed="81"/>
            <rFont val="Tahoma"/>
            <family val="2"/>
          </rPr>
          <t>keerukas hinnata, vajalikud andmed puuduvad - ebaõigel ajal teostatud taimekaitse keskkonnakahju ja  selle vähenemine teenuse tõttu</t>
        </r>
      </text>
    </comment>
    <comment ref="V79" authorId="0" shapeId="0" xr:uid="{00000000-0006-0000-0300-000044000000}">
      <text>
        <r>
          <rPr>
            <sz val="9"/>
            <color indexed="81"/>
            <rFont val="Tahoma"/>
            <family val="2"/>
          </rPr>
          <t xml:space="preserve">arvutatakse tootja ehk kliendi põhiselt
</t>
        </r>
      </text>
    </comment>
    <comment ref="V80" authorId="0" shapeId="0" xr:uid="{00000000-0006-0000-0300-000045000000}">
      <text>
        <r>
          <rPr>
            <sz val="9"/>
            <color indexed="81"/>
            <rFont val="Tahoma"/>
            <family val="2"/>
          </rPr>
          <t xml:space="preserve">arvutatakse tootja ehk kliendi põhiselt
</t>
        </r>
      </text>
    </comment>
    <comment ref="I81" authorId="0" shapeId="0" xr:uid="{00000000-0006-0000-0300-000046000000}">
      <text>
        <r>
          <rPr>
            <sz val="9"/>
            <color indexed="81"/>
            <rFont val="Tahoma"/>
            <family val="2"/>
          </rPr>
          <t xml:space="preserve">Üldkogum
</t>
        </r>
      </text>
    </comment>
    <comment ref="AB81" authorId="0" shapeId="0" xr:uid="{00000000-0006-0000-0300-000047000000}">
      <text>
        <r>
          <rPr>
            <sz val="9"/>
            <color indexed="81"/>
            <rFont val="Tahoma"/>
            <family val="2"/>
          </rPr>
          <t xml:space="preserve">üksnes andmebaasiga seotud tegevused
</t>
        </r>
      </text>
    </comment>
    <comment ref="D82" authorId="0" shapeId="0" xr:uid="{00000000-0006-0000-0300-000048000000}">
      <text>
        <r>
          <rPr>
            <sz val="9"/>
            <color indexed="81"/>
            <rFont val="Tahoma"/>
            <family val="2"/>
          </rPr>
          <t xml:space="preserve">mahe- ja tavatootjate erisused on ilmselt olulised, aga hetkel erisusi ei ole sisse toodud
</t>
        </r>
      </text>
    </comment>
    <comment ref="S86" authorId="0" shapeId="0" xr:uid="{00000000-0006-0000-0300-000049000000}">
      <text>
        <r>
          <rPr>
            <sz val="9"/>
            <color indexed="81"/>
            <rFont val="Tahoma"/>
            <family val="2"/>
          </rPr>
          <t xml:space="preserve">keerukas hinnata, vajalikud andmed ja võrdlused puuduvad.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Mati</author>
  </authors>
  <commentList>
    <comment ref="M2" authorId="0" shapeId="0" xr:uid="{00000000-0006-0000-0600-000001000000}">
      <text>
        <r>
          <rPr>
            <sz val="9"/>
            <color indexed="81"/>
            <rFont val="Tahoma"/>
            <family val="2"/>
          </rPr>
          <t xml:space="preserve">registri kaetus ja korrektselt esitatud andmete osakaal
</t>
        </r>
      </text>
    </comment>
    <comment ref="K3" authorId="0" shapeId="0" xr:uid="{00000000-0006-0000-0600-000002000000}">
      <text>
        <r>
          <rPr>
            <b/>
            <sz val="9"/>
            <color indexed="81"/>
            <rFont val="Tahoma"/>
            <family val="2"/>
          </rPr>
          <t>tera-, kaunvili ja õlikultuurid kokku</t>
        </r>
      </text>
    </comment>
    <comment ref="B13" authorId="0" shapeId="0" xr:uid="{00000000-0006-0000-0600-000003000000}">
      <text>
        <r>
          <rPr>
            <sz val="9"/>
            <color indexed="81"/>
            <rFont val="Tahoma"/>
            <family val="2"/>
          </rPr>
          <t xml:space="preserve">puhastulu arvestamiseks aasta kohta jagatakse arenduse kulu kasuliku eluea aastatega 
</t>
        </r>
      </text>
    </comment>
    <comment ref="K14" authorId="0" shapeId="0" xr:uid="{00000000-0006-0000-0600-000004000000}">
      <text>
        <r>
          <rPr>
            <b/>
            <sz val="9"/>
            <color indexed="81"/>
            <rFont val="Tahoma"/>
            <family val="2"/>
          </rPr>
          <t>üle 1 ha kasvupinda</t>
        </r>
        <r>
          <rPr>
            <sz val="9"/>
            <color indexed="81"/>
            <rFont val="Tahoma"/>
            <family val="2"/>
          </rPr>
          <t xml:space="preserve">
</t>
        </r>
      </text>
    </comment>
    <comment ref="L14" authorId="0" shapeId="0" xr:uid="{00000000-0006-0000-0600-000005000000}">
      <text>
        <r>
          <rPr>
            <sz val="9"/>
            <color indexed="81"/>
            <rFont val="Tahoma"/>
            <family val="2"/>
          </rPr>
          <t xml:space="preserve">üle 1 ha kasvatajad omavad kokku 2930 ha e. 56.3% </t>
        </r>
        <r>
          <rPr>
            <sz val="9"/>
            <color indexed="81"/>
            <rFont val="Tahoma"/>
            <family val="2"/>
            <charset val="186"/>
          </rPr>
          <t xml:space="preserve">
</t>
        </r>
      </text>
    </comment>
    <comment ref="Q14" authorId="0" shapeId="0" xr:uid="{00000000-0006-0000-0600-000006000000}">
      <text>
        <r>
          <rPr>
            <b/>
            <sz val="9"/>
            <color indexed="81"/>
            <rFont val="Tahoma"/>
            <family val="2"/>
          </rPr>
          <t>äriühingute keskmine on 3.28 ha</t>
        </r>
        <r>
          <rPr>
            <sz val="9"/>
            <color indexed="81"/>
            <rFont val="Tahoma"/>
            <family val="2"/>
          </rPr>
          <t xml:space="preserve">
</t>
        </r>
      </text>
    </comment>
    <comment ref="M23" authorId="0" shapeId="0" xr:uid="{00000000-0006-0000-0600-000007000000}">
      <text>
        <r>
          <rPr>
            <sz val="9"/>
            <color indexed="81"/>
            <rFont val="Tahoma"/>
            <family val="2"/>
          </rPr>
          <t xml:space="preserve">samastub eelmise reaga
</t>
        </r>
      </text>
    </comment>
    <comment ref="B31" authorId="0" shapeId="0" xr:uid="{00000000-0006-0000-0600-000008000000}">
      <text>
        <r>
          <rPr>
            <sz val="9"/>
            <color indexed="81"/>
            <rFont val="Tahoma"/>
            <family val="2"/>
          </rPr>
          <t>Järgnevad on kompleksväetise baasil</t>
        </r>
        <r>
          <rPr>
            <sz val="9"/>
            <color indexed="81"/>
            <rFont val="Tahoma"/>
            <family val="2"/>
            <charset val="186"/>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Paukson Martin (EXT)</author>
    <author>tc={D9FEC414-96E5-482E-ACE6-E14700F1FCF5}</author>
  </authors>
  <commentList>
    <comment ref="D2" authorId="0" shapeId="0" xr:uid="{54B59854-DFA8-440D-A3E8-0679A48A55F6}">
      <text>
        <r>
          <rPr>
            <b/>
            <sz val="11"/>
            <color indexed="81"/>
            <rFont val="Tahoma"/>
            <family val="2"/>
            <charset val="186"/>
          </rPr>
          <t>Urmas: (aastane tööjõu kulud)</t>
        </r>
        <r>
          <rPr>
            <sz val="11"/>
            <color indexed="81"/>
            <rFont val="Tahoma"/>
            <family val="2"/>
            <charset val="186"/>
          </rPr>
          <t xml:space="preserve">
1. Tiimi juht, analüütik, arendusjuht, läbirääkija, koostöö elushoidja, "juhe" juhtkonda ja ministeeriumisse
2. IT arhitekt, peaanalüütik, peaideoloog (sisu pealik)
3.  Peaadministraator (tehniline pealik, vajadusel teeb väiksemad koodimuudatused)
4. Administraator (lisandub 3 kuud enne live't) - monitooring jne
5. Jurist
6. Asjaajaja/koordinaator (korralduslikud küsimused, paberimajandus, bürokraatia korrashoid, teabepäevade korraldamine, aruannete esitamine)
7. Helpdesk/testija/nooremanalüütik
___________________________
</t>
        </r>
        <r>
          <rPr>
            <b/>
            <sz val="11"/>
            <color indexed="81"/>
            <rFont val="Tahoma"/>
            <family val="2"/>
            <charset val="186"/>
          </rPr>
          <t>Töövahendid (aastane kulu ~10000/aastas)</t>
        </r>
        <r>
          <rPr>
            <sz val="11"/>
            <color indexed="81"/>
            <rFont val="Tahoma"/>
            <family val="2"/>
            <charset val="186"/>
          </rPr>
          <t xml:space="preserve">
* PowerBI litsents
* Litsentsid (muud)
* Arvutid (5000)
* Serverid (4000)
</t>
        </r>
      </text>
    </comment>
    <comment ref="D9" authorId="0" shapeId="0" xr:uid="{77B14288-DA43-439C-A0DB-5EA32E5FBA4E}">
      <text>
        <r>
          <rPr>
            <sz val="9"/>
            <color indexed="81"/>
            <rFont val="Tahoma"/>
            <family val="2"/>
            <charset val="186"/>
          </rPr>
          <t>Sisu baseerub kontseptsiooni dokumendil</t>
        </r>
      </text>
    </comment>
    <comment ref="B17" authorId="0" shapeId="0" xr:uid="{54911914-C001-4B25-80D8-90AE966AB1EB}">
      <text>
        <r>
          <rPr>
            <b/>
            <sz val="9"/>
            <color indexed="81"/>
            <rFont val="Tahoma"/>
            <family val="2"/>
            <charset val="186"/>
          </rPr>
          <t>Paukson Martin (EXT):</t>
        </r>
        <r>
          <rPr>
            <sz val="9"/>
            <color indexed="81"/>
            <rFont val="Tahoma"/>
            <family val="2"/>
            <charset val="186"/>
          </rPr>
          <t xml:space="preserve">
Kaasrahastus</t>
        </r>
      </text>
    </comment>
    <comment ref="D23" authorId="0" shapeId="0" xr:uid="{3E66C3A5-CD89-4193-B208-82762F55BABC}">
      <text>
        <r>
          <rPr>
            <b/>
            <sz val="9"/>
            <color indexed="81"/>
            <rFont val="Tahoma"/>
            <family val="2"/>
            <charset val="186"/>
          </rPr>
          <t>Paukson Martin (EXT):</t>
        </r>
        <r>
          <rPr>
            <sz val="9"/>
            <color indexed="81"/>
            <rFont val="Tahoma"/>
            <family val="2"/>
            <charset val="186"/>
          </rPr>
          <t xml:space="preserve">
Eelarve</t>
        </r>
      </text>
    </comment>
    <comment ref="D38" authorId="0" shapeId="0" xr:uid="{A915942E-269C-4AC2-9395-6C1C712DF570}">
      <text>
        <r>
          <rPr>
            <b/>
            <sz val="9"/>
            <color indexed="81"/>
            <rFont val="Tahoma"/>
            <family val="2"/>
            <charset val="186"/>
          </rPr>
          <t>Paukson Martin (EXT):</t>
        </r>
        <r>
          <rPr>
            <sz val="9"/>
            <color indexed="81"/>
            <rFont val="Tahoma"/>
            <family val="2"/>
            <charset val="186"/>
          </rPr>
          <t xml:space="preserve">
Kui e_Põlluraamat on rakendatud
</t>
        </r>
      </text>
    </comment>
    <comment ref="D39" authorId="0" shapeId="0" xr:uid="{85AB9867-B053-4DBE-A517-D60873778C4D}">
      <text>
        <r>
          <rPr>
            <b/>
            <sz val="9"/>
            <color indexed="81"/>
            <rFont val="Tahoma"/>
            <family val="2"/>
            <charset val="186"/>
          </rPr>
          <t>Paukson Martin (EXT):</t>
        </r>
        <r>
          <rPr>
            <sz val="9"/>
            <color indexed="81"/>
            <rFont val="Tahoma"/>
            <family val="2"/>
            <charset val="186"/>
          </rPr>
          <t xml:space="preserve">
Maht ei muutu kuna on kuna automaatteenus on kõrgendatud nõuetega protsess</t>
        </r>
      </text>
    </comment>
    <comment ref="E40" authorId="1" shapeId="0" xr:uid="{D9FEC414-96E5-482E-ACE6-E14700F1FCF5}">
      <text>
        <r>
          <rPr>
            <sz val="11"/>
            <color theme="1"/>
            <rFont val="Calibri"/>
            <family val="2"/>
            <charset val="186"/>
            <scheme val="minor"/>
          </rPr>
          <t xml:space="preserve">[Lõimkommentaar]
Teie Exceli versioon võimaldab teil seda lõimkommentaari lugeda, ent kõik sellesse tehtud muudatused eemaldatakse, kui fail avatakse Exceli uuemas versioonis. Lisateavet leiate siit: https://go.microsoft.com/fwlink/?linkid=870924.
Kommentaar:
    jagamisel pole suurt mõtet, tehakse ühes konkreetses kvartalis ära. Iseküsimus, et kas on mõtet PMAsse jätta või tõsta kohe ümber?
</t>
        </r>
      </text>
    </comment>
  </commentList>
</comments>
</file>

<file path=xl/sharedStrings.xml><?xml version="1.0" encoding="utf-8"?>
<sst xmlns="http://schemas.openxmlformats.org/spreadsheetml/2006/main" count="2009" uniqueCount="798">
  <si>
    <t>Nimetus</t>
  </si>
  <si>
    <t>Teenuse Kirjeldus</t>
  </si>
  <si>
    <t xml:space="preserve">Palun vali kuni 5 teenust, mida koheselt vajaksite või näete suurt potentsiaali </t>
  </si>
  <si>
    <t>Määra valitud teenustele pingerida (1-5)</t>
  </si>
  <si>
    <t>Taimekahjustajate leviku info jagamine ja taimekahjustajate leviku prognoos</t>
  </si>
  <si>
    <t>ETKI poolt on organiseeritud taimekahjustajate info kogumine. Info salvestatakse hetkel ETKI vastavasse andmekogusse ja andmed visualiseeritakse täna läbi ETKI kodulehe, mis on integreeritud ka kaardirakendusega. Puudub veebiteenus taimekahjustajate info jagamiseks,. Teenus on vajalik selleks, et taimekahjustajate leviku info oleks kasutatav põlluhalduse tarkvarades.</t>
  </si>
  <si>
    <t xml:space="preserve">Riskipõhine taimekaitsevahendite kasutamise kontroll </t>
  </si>
  <si>
    <t>Kombineerides taimekaitsepritside või neid vedavate seadmete GPS signaali ja andmed ning põlluraamatust tuleva kasutatud preparaadi, pritsimise aegsed ilmastikuolud ning kaugseire andmed saame riskipõhise fookuse suunata sinna aladele, kus andmeid ei ole ja kus oleks vaja kontrolli läbi viia. Kasu tootjale, et ei käida ilmaasjata kontrollimas, kui kõik on jälgitud taimekaitse nõudeid.</t>
  </si>
  <si>
    <t>Agrotehnoloogilised soovitused (sh külvi-  ja koristusaja soovitused)</t>
  </si>
  <si>
    <r>
      <t xml:space="preserve">1) </t>
    </r>
    <r>
      <rPr>
        <b/>
        <sz val="10"/>
        <rFont val="Calibri"/>
        <family val="2"/>
        <scheme val="minor"/>
      </rPr>
      <t>Külviaeg</t>
    </r>
    <r>
      <rPr>
        <sz val="10"/>
        <rFont val="Calibri"/>
        <family val="2"/>
        <scheme val="minor"/>
      </rPr>
      <t xml:space="preserve"> lähtuvalt kohalikest agroklimaatilistest tingimustest, kultuuri sordist, ettevõttes kasvatatavate  kultuuride nimistust.  2) Soovituslik </t>
    </r>
    <r>
      <rPr>
        <b/>
        <sz val="10"/>
        <rFont val="Calibri"/>
        <family val="2"/>
        <scheme val="minor"/>
      </rPr>
      <t>külvisenorm</t>
    </r>
    <r>
      <rPr>
        <sz val="10"/>
        <rFont val="Calibri"/>
        <family val="2"/>
        <scheme val="minor"/>
      </rPr>
      <t xml:space="preserve"> lähtuvalt kavandatavast külviajast, kohalikest agroklimaatilistest tingimustest,  kultuuri sordist, seemne kvaliteedist ja külviviisist. </t>
    </r>
    <r>
      <rPr>
        <b/>
        <sz val="10"/>
        <rFont val="Calibri"/>
        <family val="2"/>
        <scheme val="minor"/>
      </rPr>
      <t>3) Koristamisaja soovitused -</t>
    </r>
    <r>
      <rPr>
        <sz val="10"/>
        <rFont val="Calibri"/>
        <family val="2"/>
        <scheme val="minor"/>
      </rPr>
      <t xml:space="preserve"> nt siloseire, kultuuri sordiomadustest ja monitooringu tulemusi arvestavalt. </t>
    </r>
  </si>
  <si>
    <t>Laotamisprognoosi teenused</t>
  </si>
  <si>
    <t>Vedel- ja tahesõnniku koguse laotamise kalkulaator, mis võtab arvesse sõnnikuhoidla asukoha, põldude paiknemise ja marsruudi, et optimeerida vedu. Samuti võetakse arvesse mullaproovi tulemused, külvikord ja max lubatud piirnormid ning  koostatakse põllupõhine laotamisprognoosi soovitus. </t>
  </si>
  <si>
    <t xml:space="preserve">Ettevõtte konkurentsivõime indeksi teenus </t>
  </si>
  <si>
    <t>Ettevõtte majanduslik positsioneerimise teenus, mis võrdleb ettevõtteid omavahel või FADN andmetega ning esitatakse ettevõtte juhile tulemusmõõdikute näitajad. Teenuse sisu sõltub sellest, kas ettevõtja soovib analüüsi pakkuda täiendavaid andmeid või mitte. </t>
  </si>
  <si>
    <t>Mullaharimisvõtete -masinatüüpide ja masinate omaduste soovitused</t>
  </si>
  <si>
    <t xml:space="preserve">1)Mullaharimisvõtete, -masinatüüpide ja masinate omaduste soovitused lähtuvalt kohalikest agroklimaatilistest tingimustest, kultuuride nimistust, kavandatavatest väetistest, integreeritud taimekaitse soovitustest, põldude omadustest (suurus, konfiguratsioon, takistused). 2) Soovitused mullaharimise aja valimiseks lähtuvalt kohalikest agroklimaatilistest tingimustest, eelnevates ja järgnevatest töödest põllul. </t>
  </si>
  <si>
    <t>Toitainete kadude risk (ühendatav väetussoovitustega)</t>
  </si>
  <si>
    <t xml:space="preserve">Võimalik kaardikiht, mis mullaareaali või generaliseerituna põllu põhiselt, annab hinnangu toitainete (NP peamiselt tulenevalt keskkonnaohust) leostumise ja pinnalt ärakandele. Need hinnangud ja vastavad skaalad on võimalik koostada lähtuvalt mullastikukaardi ja osalt pinnakatte ja aluspõhja geoloogilise kaardi infole tuginedes. Tõenäoliselt vajalik kaasata maapinna reljeefimudel ning ehk ka mõni kaugseire teenuste infokiht. Sellise riskikaardi ja NP bilansi ja väetussoovituste kaardikihtide sünergias peaks jõudma kompleksse väetamise planeerimise tööriistani. </t>
  </si>
  <si>
    <t> S2REP ja GNDVI lämmastiku indeksite töötlusteenus</t>
  </si>
  <si>
    <r>
      <t xml:space="preserve"> S2REP: </t>
    </r>
    <r>
      <rPr>
        <i/>
        <sz val="10"/>
        <rFont val="Calibri"/>
        <family val="2"/>
        <scheme val="minor"/>
      </rPr>
      <t xml:space="preserve">"The </t>
    </r>
    <r>
      <rPr>
        <b/>
        <i/>
        <sz val="10"/>
        <rFont val="Calibri"/>
        <family val="2"/>
        <scheme val="minor"/>
      </rPr>
      <t>S</t>
    </r>
    <r>
      <rPr>
        <i/>
        <sz val="10"/>
        <rFont val="Calibri"/>
        <family val="2"/>
        <scheme val="minor"/>
      </rPr>
      <t>entinel-</t>
    </r>
    <r>
      <rPr>
        <b/>
        <i/>
        <sz val="10"/>
        <rFont val="Calibri"/>
        <family val="2"/>
        <scheme val="minor"/>
      </rPr>
      <t>2</t>
    </r>
    <r>
      <rPr>
        <i/>
        <sz val="10"/>
        <rFont val="Calibri"/>
        <family val="2"/>
        <scheme val="minor"/>
      </rPr>
      <t xml:space="preserve"> </t>
    </r>
    <r>
      <rPr>
        <b/>
        <i/>
        <sz val="10"/>
        <rFont val="Calibri"/>
        <family val="2"/>
        <scheme val="minor"/>
      </rPr>
      <t>R</t>
    </r>
    <r>
      <rPr>
        <i/>
        <sz val="10"/>
        <rFont val="Calibri"/>
        <family val="2"/>
        <scheme val="minor"/>
      </rPr>
      <t>ed-</t>
    </r>
    <r>
      <rPr>
        <b/>
        <i/>
        <sz val="10"/>
        <rFont val="Calibri"/>
        <family val="2"/>
        <scheme val="minor"/>
      </rPr>
      <t>E</t>
    </r>
    <r>
      <rPr>
        <i/>
        <sz val="10"/>
        <rFont val="Calibri"/>
        <family val="2"/>
        <scheme val="minor"/>
      </rPr>
      <t xml:space="preserve">dge </t>
    </r>
    <r>
      <rPr>
        <b/>
        <i/>
        <sz val="10"/>
        <rFont val="Calibri"/>
        <family val="2"/>
        <scheme val="minor"/>
      </rPr>
      <t>P</t>
    </r>
    <r>
      <rPr>
        <i/>
        <sz val="10"/>
        <rFont val="Calibri"/>
        <family val="2"/>
        <scheme val="minor"/>
      </rPr>
      <t xml:space="preserve">osition index" </t>
    </r>
    <r>
      <rPr>
        <sz val="10"/>
        <rFont val="Calibri"/>
        <family val="2"/>
        <scheme val="minor"/>
      </rPr>
      <t xml:space="preserve">Sentinel 2 spetsiifiline indeks, mis põhineb Vegetation Red Edge lainepikkuste erineval kajastamisel. Lansat 8 sensor seda spektrivahemikku ei salvestanud, Sentinel 2 omab aga suisa kolme kitsast kanalit selles lõigus. Võimaldab paremini hinnata taimestiku klorofüllisisaldust, lämmastikusisaldust ning kasvustaatust. GNDVI: Green Normalized Difference Vegetation Index. Taimkatte indeks, mis on NDVI-st tundlikum klorofülli hulgale, mis omakorda on korrelatsioonis lämmastikuga. Töötlusteenuse väljundiks võiks olla mullaproovide toetav valideerimisandmestik ja põllumajandustootjale täppispõllumajandust toetav töösisend. </t>
    </r>
  </si>
  <si>
    <t>Külvikorra kavandaja</t>
  </si>
  <si>
    <t xml:space="preserve">Külvikorra kavandaja abil on võimalik kavandada põldudele külvikord või saada soovitusi, millist kultuuri järgmisena antud põllule kasutada. Viimasel juhul moodul esitab kultuuride loendi sobivaimast  ebasobivaimani. Mõlemal juhul lähtutakse kultuuride üldnimistust, mida on võimalik teatud tingimuste alusel kitsendada; eelnevatel aastatel põllul kasvatatud kultuuridest, esinenud taimekahjustajatest, kohalikest agroklimaatilistest tingimustest, ettevõtte toodanguvajadustest (näiteks kui palju on vaja varuda mingit liiki sööta); kui palju mingit liiki väetist, on selle omadustest (sõnnik, haljasväetis jt) ja asukohast; kuidas optimeerida koristuskonveierit, põllule ligipääs ja põllul  töötamise võimalus ettevõtte taimekasvatusmasinatega jne. </t>
  </si>
  <si>
    <t xml:space="preserve">Saagimonitooringu andmestik </t>
  </si>
  <si>
    <t>Saagimonitooringu andmestik põhineb tegelikel koristatud saakidel ja nende omadustel, mis on määratud usaldusväärsel meetodil.  Kirjeldatud peab olema taustainfo, mis teadaolevalt saaki võiksid mõjutada. Samuti saagikuse ja omaduste määramise meetodid. Eelkõige siis valideeritud metoodika abil saadud tulemuste jagamine (PMK, ETKI, EMÜ ja viljelusvõistlused). Lisaks - juhul kui saagikaardid kombainidelt oleks usaldusväärsed siis võib ka seda ühe sisendina kaaluda, et mudelit täpsustada.</t>
  </si>
  <si>
    <t xml:space="preserve">Saagikuse prognoos ja kvaliteedi mudel </t>
  </si>
  <si>
    <t>Kasutab eeskätt ilmastikuandmeid ja ka PMK sordivördluskatsete andmeid, mis annavad esimese lähtepunkti nö keskmise kasvuaja kohta. Mudelis summeeritakse efektiivsed temperatuurid ja sademed, NDVI ja selle kombineerimisel mõne teise indeksiga (SWIR) alusel prognoositakse ka saagi kvaliteeti</t>
  </si>
  <si>
    <t>BOT</t>
  </si>
  <si>
    <t>Tehisintellektil põhinev automaatne küsimustele vastaja, mis oskab vastata erinevatele küsimustele, mis puudutab olemasolevate andmekogude andmeid, näiteks: 1) "Millist taimekaitsevahendit pean kasutama Kroonrooste tõrjeks?" 2) "Kui suur oli Eestis nisu keskmine saagikus aastal 2018?" 3) "Milliseid põldkatseid on läbi viidud talinisuga?" 4) "Millal peab niitma pindalatoetuse aluseks olevat rohumaad?" 5) "Kui suur on Eesti põldude pindala?" 6) "Kas püsirohumaad on lubatud üles harida?" 7) "Millest sõltub kõdra-peitkärsaka levik?"</t>
  </si>
  <si>
    <t xml:space="preserve">Keskkonnapiirangute teavitusteenus </t>
  </si>
  <si>
    <t>Olemasolevate andmete alusel (nt põllu/põllumassiivi geograafilised koordinaadid) erinevate keskkonnapiirangute hindamise teenus. Näiteks veekaitsepiirang (Keskkonnaamet), Natura 2000 piiranguvöönd vms.</t>
  </si>
  <si>
    <t>Mullaandurite andmete kogumise ja jagamise teenus</t>
  </si>
  <si>
    <r>
      <t>Olemasolevate pideva jälgimisega mullaandurite andmebaasi andmete kasutamine kaugseire „</t>
    </r>
    <r>
      <rPr>
        <i/>
        <sz val="10"/>
        <rFont val="Calibri"/>
        <family val="2"/>
        <scheme val="minor"/>
      </rPr>
      <t>ground truth</t>
    </r>
    <r>
      <rPr>
        <sz val="10"/>
        <rFont val="Calibri"/>
        <family val="2"/>
        <scheme val="minor"/>
      </rPr>
      <t>“ väärtusena ning arvutusmudelite pidevaks parendamiseks, sh. masinõppe kasutamise teel ning vastavate algoritmide välja töötamine. Teenuse kirjeldus: Reaalajas mullaandurid mõõdavad otseselt mulla elektrilisi omadusi ja niiskust, mulla soolsust (väetiste sisaldust) ning mulla temperatuuri. Nende tulemuste integreerimine kaugseire ning muude andmekogudega ning ka ilmaennustusega võimaldab  anda soovitusi tööde õigeaegseks teostamiseks, väetiste efektiivsemaks rakendamiseks, kontrollida ja kaardistada toitainete leostumist jms. Näiteks kõrvutades mullaniiskuse andmete aegrida anduritelt reaalsete sademetega saame ennustada mullaniiskuse käitumist tulevikus ning täpsustada sellega väetiste kasutust ja vähendada toitainete leostumist ja anda soovitusi tööde õigeaegseks teostamiseks põllul. Teenuse aluseks oleks reaalajas toimivate NBiOT võrgus olevate elektriliste mullaanduritega (percoandurid) kogu Eestit katva süsteemi ja andmebaasi väljaehitamine ning tulemuste integreerimine kaugseire andmebaasiga  ja olemasolevate agrometeoroloogiliste andmekogudega. Selleks tuleks välja ehitada välja Eestit kattev esinduslik mullaandurite võrk ja andmebaas percoandurite baasil, mis võimaldab kogu Eesti ulatuses täpsustada ja parendada kaugseire andmete kasutamist mullastikus valitseva tegeliku olukorra alusel. Töötada välja AI-l põhinevad mudelid kõikide mõõteandmete paremaks kasutamiseks põllumajanduslike ressursside juhtimisel.</t>
    </r>
  </si>
  <si>
    <t>E_põlluraamat</t>
  </si>
  <si>
    <t>Teostada analüüsi põhjal ja tellija poolt kokkulepitud andmekoosseisus. Eeldatavalt paljude teenuste sisend.</t>
  </si>
  <si>
    <t>Taimekaitse soovitused ja prognoos + Taimekahjustajate kaardistamine</t>
  </si>
  <si>
    <t>Luua teenused, mis võimaldavad andmeid pärida masinloetavalt ja reaalajas, et põllumajandustarkvaras oleks võimalik need andmed kaardil kuvada ning kasutada koos teiste andmetega erinevates analüüsides. Tekib nö ruumiline asukohapõhine ajakohane soovitusteenus. + Leitud ja kaardistatud taimekahjustajate andmete avalikustamine põllumehele, kui kasutusele võetakse või renditakse uus põld või taimla, millised võivad olla kaasnevad riskid. Tulemuseks on teadlikum tootja ja tarbija ning puhtam keskkond.</t>
  </si>
  <si>
    <t>Väetus- ja lupjamissoovitused (mulla- ja põllupõhine)</t>
  </si>
  <si>
    <t>Väetussoovitusteenus on vastavalt mulla: väetustarbele, kultuurile, saagikusele ja mullastikule ja eelnevale väetamisele arvutatakse vastava algoritmide alusel vajalikud toiteelementide kogused. Tekib nn ruumiline väetusplaan.</t>
  </si>
  <si>
    <t>Huumusbilanss</t>
  </si>
  <si>
    <r>
      <t>Huumusbilansi kalkulaator on 2015 aasta mineraalmuldade huumusseisundi hindamiseks koostatud tabelarvutusprogramm, mis võimaldab etteantud sisenditest lähtuvalt hinnata huumusbilanssi (kg/ha) ja huumusvaru muutust (% algarvust aastas) nii põllupõhiselt kui ka külvikorra kohta kaalutud keskmisena. Suurandmete süsteemi tuleks luua teenus, mis võimaldaks samu arvutusi teha aga kasutades erinevate andmekogude andmeid nii, et kasutaja ei peaks sisestama kõiki sisendandmeid käsitsi programmi.</t>
    </r>
    <r>
      <rPr>
        <b/>
        <sz val="10"/>
        <rFont val="Calibri"/>
        <family val="2"/>
        <scheme val="minor"/>
      </rPr>
      <t xml:space="preserve"> </t>
    </r>
  </si>
  <si>
    <t xml:space="preserve">NPK bilanss. </t>
  </si>
  <si>
    <t>Analoogselt huumusbilansi kalkulaatoriga on koostamisel algoritmid NPK bilansi arvestamiseks põllupõhiselt. Algoritmid vajavad sisendandmetena mulla infot (väetistarve, mullastikukaart) ning põlluraamatust kultuuri, saagikuse, väetamise andmeid. Mingil etapil otstarbekas liidestada väetissoovitus teenusega (vähemalt teenuse kasutaja vaatest lähtuvalt).  </t>
  </si>
  <si>
    <t>Sordivaliku ja seemne kvaliteedi valiku soovitused</t>
  </si>
  <si>
    <t xml:space="preserve">Sordivaliku ja seemne kvaliteedi valiku soovitused lähtuvalt toodangu kvaliteedi eesmärkidest (N: sööda, toidu, õlle või seemneoder), tootmistüübist (N mahe või tavatootmine), kohalikest agroklimaatilistest tingimustest, kavandatavast külviajast, taimekaitse- ja väetamisplaanist. </t>
  </si>
  <si>
    <t xml:space="preserve">Ilmaprognoosi teenus põllutööde planeerimiseks  </t>
  </si>
  <si>
    <t>Täpse ilmaprognoosi andmine ja selle põhjal tööde soovituste genereerimine.  Tööde plaan sõltub nii soodatavast sademete hulgast, tuule kiirusest, kui ka tuule suunast. Arvesse tuleb võtta ka põllu asukoht sest töösoovitust võivad mõjutada põldu ümbritsevate objektide iseloom.</t>
  </si>
  <si>
    <t>FADN andmete visualiseerimise teenus (kaasata ka teised riigid võimalusel)+FADN standardnäitajate jagamise teenus</t>
  </si>
  <si>
    <t>Vastavalt PMK ettepanekutele vajavad FADN-i andmed kaasaegset visualiseerimist. Selle jaoks sobiks vastav teenus Suurandmete süsteemis. + Hetkel on teenus olemas PMK kodulehel.  Masinliidest andmete pärimiseks olemas ei ole. </t>
  </si>
  <si>
    <t>Toetuse taotlejale esitatavate nõuete info jagamine</t>
  </si>
  <si>
    <t>PRIA-l on pea 2000 nõuet, mida tuleb jälgida. Nendes orienteerumiseks tuleks nõuete info siduda konkreetse tootja näitajatega ja selle põhjal moodustada automaatselt rakenduvate nõuete list. Hetkel on nõuete info avaldatud veebiartiklitena ja kehtivatest nõuetest reaalajas ülevaate saamine on suuresti võimatu. Samas on vajalikud andmed olemas CCS-is.</t>
  </si>
  <si>
    <t>TARTU</t>
  </si>
  <si>
    <t>SAKU</t>
  </si>
  <si>
    <t>Teenus</t>
  </si>
  <si>
    <t>Kirjeldus</t>
  </si>
  <si>
    <t>Valiti</t>
  </si>
  <si>
    <t>Prioriteet</t>
  </si>
  <si>
    <t>3,4,3,2,3,1,3</t>
  </si>
  <si>
    <t>1,3,4,2,3,4,2</t>
  </si>
  <si>
    <t>4,2,1,1,5,1</t>
  </si>
  <si>
    <t>võiks öelda, et kõrge prioriteet</t>
  </si>
  <si>
    <t>3,2,5,2</t>
  </si>
  <si>
    <t>3,5,5,5,1</t>
  </si>
  <si>
    <t>valikus, kuid viimaset seas</t>
  </si>
  <si>
    <t>3,4,4,4</t>
  </si>
  <si>
    <t>Olemasolevate pideva jälgimisega mullaandurite andmebaasi andmete kasutamine kaugseire „ground truth“ väärtusena ning arvutusmudelite pidevaks parendamiseks, sh. masinõppe kasutamise teel ning vastavate algoritmide välja töötamine. Teenuse kirjeldus: Reaalajas mullaandurid mõõdavad otseselt mulla elektrilisi omadusi ja niiskust, mulla soolsust (väetiste sisaldust) ning mulla temperatuuri. Nende tulemuste integreerimine kaugseire ning muude andmekogudega ning ka ilmaennustusega võimaldab  anda soovitusi tööde õigeaegseks teostamiseks, väetiste efektiivsemaks rakendamiseks, kontrollida ja kaardistada toitainete leostumist jms. Näiteks kõrvutades mullaniiskuse andmete aegrida anduritelt reaalsete sademetega saame ennustada mullaniiskuse käitumist tulevikus ning täpsustada sellega väetiste kasutust ja vähendada toitainete leostumist ja anda soovitusi tööde õigeaegseks teostamiseks põllul. Teenuse aluseks oleks reaalajas toimivate NBiOT võrgus olevate elektriliste mullaanduritega (percoandurid) kogu Eestit katva süsteemi ja andmebaasi väljaehitamine ning tulemuste integreerimine kaugseire andmebaasiga  ja olemasolevate agrometeoroloogiliste andmekogudega. Selleks tuleks välja ehitada välja Eestit kattev esinduslik mullaandurite võrk ja andmebaas percoandurite baasil, mis võimaldab kogu Eesti ulatuses täpsustada ja parendada kaugseire andmete kasutamist mullastikus valitseva tegeliku olukorra alusel. Töötada välja AI-l põhinevad mudelid kõikide mõõteandmete paremaks kasutamiseks põllumajanduslike ressursside juhtimisel.</t>
  </si>
  <si>
    <t>5,2,4,3</t>
  </si>
  <si>
    <t>1,2,1</t>
  </si>
  <si>
    <t>kui valitud, siis esimeste seas</t>
  </si>
  <si>
    <t xml:space="preserve">1) Külviaeg lähtuvalt kohalikest agroklimaatilistest tingimustest, kultuuri sordist, ettevõttes kasvatatavate  kultuuride nimistust.  2) Soovituslik külvisenorm lähtuvalt kavandatavast külviajast, kohalikest agroklimaatilistest tingimustest,  kultuuri sordist, seemne kvaliteedist ja külviviisist. 3) Koristamisaja soovitused - nt siloseire, kultuuri sordiomadustest ja monitooringu tulemusi arvestavalt. </t>
  </si>
  <si>
    <t xml:space="preserve">Huumusbilansi kalkulaator on 2015 aasta mineraalmuldade huumusseisundi hindamiseks koostatud tabelarvutusprogramm, mis võimaldab etteantud sisenditest lähtuvalt hinnata huumusbilanssi (kg/ha) ja huumusvaru muutust (% algarvust aastas) nii põllupõhiselt kui ka külvikorra kohta kaalutud keskmisena. Suurandmete süsteemi tuleks luua teenus, mis võimaldaks samu arvutusi teha aga kasutades erinevate andmekogude andmeid nii, et kasutaja ei peaks sisestama kõiki sisendandmeid käsitsi programmi. </t>
  </si>
  <si>
    <t>4,4,4</t>
  </si>
  <si>
    <t>2,3,5</t>
  </si>
  <si>
    <t>4,1</t>
  </si>
  <si>
    <t>5,5,1</t>
  </si>
  <si>
    <t>1,2</t>
  </si>
  <si>
    <t>2,2</t>
  </si>
  <si>
    <t xml:space="preserve"> S2REP: "The Sentinel-2 Red-Edge Position index" Sentinel 2 spetsiifiline indeks, mis põhineb Vegetation Red Edge lainepikkuste erineval kajastamisel. Lansat 8 sensor seda spektrivahemikku ei salvestanud, Sentinel 2 omab aga suisa kolme kitsast kanalit selles lõigus. Võimaldab paremini hinnata taimestiku klorofüllisisaldust, lämmastikusisaldust ning kasvustaatust. GNDVI: Green Normalized Difference Vegetation Index. Taimkatte indeks, mis on NDVI-st tundlikum klorofülli hulgale, mis omakorda on korrelatsioonis lämmastikuga. Töötlusteenuse väljundiks võiks olla mullaproovide toetav valideerimisandmestik ja põllumajandustootjale täppispõllumajandust toetav töösisend. </t>
  </si>
  <si>
    <t>-</t>
  </si>
  <si>
    <t>KOKKU</t>
  </si>
  <si>
    <t>TOPi erinevus</t>
  </si>
  <si>
    <t>Topp</t>
  </si>
  <si>
    <t>Topp 10</t>
  </si>
  <si>
    <t>Kirjedlus</t>
  </si>
  <si>
    <t>Kokku</t>
  </si>
  <si>
    <t>Tartu</t>
  </si>
  <si>
    <t>Saku</t>
  </si>
  <si>
    <t>1,3,4,2,3,4,2,2,2,3,2</t>
  </si>
  <si>
    <t>3,4,3,2,3,1,3,5,3</t>
  </si>
  <si>
    <t>1,2,1,1,5,5,2,1</t>
  </si>
  <si>
    <t>4,2,1,1,5,1,1,3</t>
  </si>
  <si>
    <t>1,2,4,2,4,2,4,3</t>
  </si>
  <si>
    <t>3,5,5,5,1,1</t>
  </si>
  <si>
    <t>3,4,4,4,3,2,2</t>
  </si>
  <si>
    <t>2,3,5,2,4</t>
  </si>
  <si>
    <t>3,5,4,3,5,5</t>
  </si>
  <si>
    <t>3,2,5,2,4</t>
  </si>
  <si>
    <t>5,2,4,3,3,4</t>
  </si>
  <si>
    <t>4,1,1,1</t>
  </si>
  <si>
    <t>5,5,1,5,1</t>
  </si>
  <si>
    <t>2,2,1,4</t>
  </si>
  <si>
    <t>1,4</t>
  </si>
  <si>
    <t>1. grupp analüütilised teenused tootjale; 2. grupp riigile andmete edastamise teenus; 3. grupp analüütilised teenused põllumajandussektorile või sektorist; 4. grupp riikliku seire teenused.  Juhul kui teenus ei liigitu sisulisest aspektist, siis kuulub kohe IT liigituse alla</t>
  </si>
  <si>
    <t>Majandusanalüüsi valitakse eelkõige 1. gruppi kuuluvad prioriteetsed teenused</t>
  </si>
  <si>
    <t>Koondhinne</t>
  </si>
  <si>
    <t>Erasektor teabepäeval</t>
  </si>
  <si>
    <t>Grupp</t>
  </si>
  <si>
    <t>Uus grupp</t>
  </si>
  <si>
    <t>Teenuse nimetus</t>
  </si>
  <si>
    <t>Valik majandusanalüüsi</t>
  </si>
  <si>
    <t>*</t>
  </si>
  <si>
    <t>*.2</t>
  </si>
  <si>
    <t>Taimekaitse soovitused ja prognoos + Taimekahjustajate kaardistamine (liita eelmisega)</t>
  </si>
  <si>
    <t>Jah</t>
  </si>
  <si>
    <t>*.1</t>
  </si>
  <si>
    <t>*.7</t>
  </si>
  <si>
    <t>Keskkonnapiirangute teavitusteenus (väetissoovituste osa)</t>
  </si>
  <si>
    <t>Grupeerimata</t>
  </si>
  <si>
    <t>Ilmaprognoosi teenus põllutööde planeerimiseks  (olemas +)</t>
  </si>
  <si>
    <t>1. 3</t>
  </si>
  <si>
    <t>1.4</t>
  </si>
  <si>
    <t>1.8</t>
  </si>
  <si>
    <t>7.4</t>
  </si>
  <si>
    <t>8.4</t>
  </si>
  <si>
    <t> 1.1</t>
  </si>
  <si>
    <t>1.7</t>
  </si>
  <si>
    <t>8.8</t>
  </si>
  <si>
    <t>*.13</t>
  </si>
  <si>
    <t>Mullaharimisvõtete, -masinatüüpide ja masinate omaduste soovitused</t>
  </si>
  <si>
    <t>5.2</t>
  </si>
  <si>
    <t>2.3</t>
  </si>
  <si>
    <t>1,3</t>
  </si>
  <si>
    <t>6.2</t>
  </si>
  <si>
    <t>IT</t>
  </si>
  <si>
    <t>4.1</t>
  </si>
  <si>
    <t> Metaandmete haldamise teenus</t>
  </si>
  <si>
    <t>4.2</t>
  </si>
  <si>
    <t> Metaandmete jagamise teenus</t>
  </si>
  <si>
    <t>8.1</t>
  </si>
  <si>
    <t> Andmete jagamise teenused (sisuliselt API). Tekib sisuliselt tehniline standard</t>
  </si>
  <si>
    <t>8.2</t>
  </si>
  <si>
    <t>Toetuste taotluste automaatesitamise teenused</t>
  </si>
  <si>
    <t>5.1</t>
  </si>
  <si>
    <t>Majandusliku suuruse ja tootmistüübi kalkulaator (FADN)</t>
  </si>
  <si>
    <t>2.1</t>
  </si>
  <si>
    <t> NDVI töötlusteenus</t>
  </si>
  <si>
    <t>6.1</t>
  </si>
  <si>
    <t> Sordiandmete kogumine (ühendada 6.1 ja 6.2)</t>
  </si>
  <si>
    <t>*.6</t>
  </si>
  <si>
    <t>Masinandmed</t>
  </si>
  <si>
    <t>Sordivõrdluskatsete andmete jagamine (liita 6.1 ja 6.2)</t>
  </si>
  <si>
    <t>Sordiregistri veebiteenused (olemas)</t>
  </si>
  <si>
    <t>7.2</t>
  </si>
  <si>
    <t>Integreeritud ilmastikuandmete korrelatsiooni ja koosmõju teenus. 7.2 ja 7.3 ühendada)</t>
  </si>
  <si>
    <t>7.3</t>
  </si>
  <si>
    <t>Integreeritud ilmastikuandmed ja prognoos</t>
  </si>
  <si>
    <t>Integreeritud agrometeoroloogia andmete jagamise teenus (olemas +)</t>
  </si>
  <si>
    <t>3 või IT</t>
  </si>
  <si>
    <t>*.16</t>
  </si>
  <si>
    <t>Väetiste registri teenused</t>
  </si>
  <si>
    <t>*.17</t>
  </si>
  <si>
    <t>Taimekaitsevahendite registri veebiteenused</t>
  </si>
  <si>
    <t>2.2</t>
  </si>
  <si>
    <t>NDWI ja NDWI2 vee indeksite töötlusteenus</t>
  </si>
  <si>
    <t>2.4</t>
  </si>
  <si>
    <t>Liigniiskete alade seire (sisend veeindeksite teenusele (komplektis)</t>
  </si>
  <si>
    <t>*.18</t>
  </si>
  <si>
    <t>Mullastikukaardi veebiteenused</t>
  </si>
  <si>
    <t>2.5</t>
  </si>
  <si>
    <t>Kogutoodangu riiklik prognoos (ühendada saagikuse prognoosiga)</t>
  </si>
  <si>
    <t>6.3</t>
  </si>
  <si>
    <t>Saagimonitooringu andmestik (Ühendada 2.5)</t>
  </si>
  <si>
    <t>7.1</t>
  </si>
  <si>
    <t>Saagikuse prognoos ja kvaliteedi mudel (seos 2.5)</t>
  </si>
  <si>
    <t>*.5</t>
  </si>
  <si>
    <t> SWIR (nimetust korrigeerida) /saagiprognoosi mudeli osaks?</t>
  </si>
  <si>
    <t>3.1</t>
  </si>
  <si>
    <t> Niitmiskontrolli fakti teenus (Sentinel 1/2)</t>
  </si>
  <si>
    <t>1.6</t>
  </si>
  <si>
    <t>Ammoniaagi emissiooni kalkulaator (seos sisendite mõttes laotamisprognoosi teenusega)</t>
  </si>
  <si>
    <t>8.5</t>
  </si>
  <si>
    <t>Detailandmete ja komplekspäringute teenus (suurandmete süsteemi osa)</t>
  </si>
  <si>
    <t>8.3</t>
  </si>
  <si>
    <t xml:space="preserve">Toetuste statistiliste andmete jagamine </t>
  </si>
  <si>
    <t>1.5</t>
  </si>
  <si>
    <t>Kasvuhoonegaaside emissioon</t>
  </si>
  <si>
    <t>5.3</t>
  </si>
  <si>
    <t>Ettevõtte konkurentsivõime indeksi teenus (sisaldab 5.1 ja 5.2)</t>
  </si>
  <si>
    <t>5.4</t>
  </si>
  <si>
    <t>Investeeringu tasuvuse hindamine</t>
  </si>
  <si>
    <t>*.9</t>
  </si>
  <si>
    <t>Drooniseirealade süsteem</t>
  </si>
  <si>
    <t>3.2</t>
  </si>
  <si>
    <t> Kultuuride tuvastuse teenus (Sentinel 1/2</t>
  </si>
  <si>
    <t>*.14</t>
  </si>
  <si>
    <t>Saagi- ja töökaartide varunduskeskkond (Vabatahtlik)</t>
  </si>
  <si>
    <t>*.10</t>
  </si>
  <si>
    <t>Reaalboniteeti kaardikiht</t>
  </si>
  <si>
    <t>Jrk.</t>
  </si>
  <si>
    <t>Avaliku sektori huvi  (1-10)</t>
  </si>
  <si>
    <t>Erasektori huvi (1-10)</t>
  </si>
  <si>
    <t>Erasektori huvi (teabepäevad)</t>
  </si>
  <si>
    <t>Koondhinnang Kokku (max_20)</t>
  </si>
  <si>
    <t>Teenuse grupp</t>
  </si>
  <si>
    <t>Teenuse number</t>
  </si>
  <si>
    <t>Valik testimiseks</t>
  </si>
  <si>
    <t>Teenuse nimi</t>
  </si>
  <si>
    <t>Teenuse loomiseks vajalikud sisendid</t>
  </si>
  <si>
    <t>Teenuse olemasolu</t>
  </si>
  <si>
    <t>Positiivsete muutuste allikad</t>
  </si>
  <si>
    <t>Teenuse pidaja</t>
  </si>
  <si>
    <t>Väljund</t>
  </si>
  <si>
    <t>Teenuse püstitaja projektis</t>
  </si>
  <si>
    <r>
      <t xml:space="preserve"> Metaandmete </t>
    </r>
    <r>
      <rPr>
        <b/>
        <sz val="14"/>
        <color theme="1"/>
        <rFont val="Segoe UI"/>
        <family val="2"/>
        <charset val="186"/>
      </rPr>
      <t>haldamise</t>
    </r>
    <r>
      <rPr>
        <sz val="14"/>
        <color theme="1"/>
        <rFont val="Segoe UI"/>
        <family val="2"/>
        <charset val="186"/>
      </rPr>
      <t xml:space="preserve"> teenus</t>
    </r>
  </si>
  <si>
    <t>Kasutajateenus; Kasutajaliides; Veebiteenus; Andmehaldus</t>
  </si>
  <si>
    <t>Osad elemendid on olemas</t>
  </si>
  <si>
    <t>Andmekogude jagatavad andmed peavad olema varustatud kirjeldustega. Vastasel juhul võib osutuda andmete jagamise kasu väikeseks ja andmete tarbijad võivad teha andmetest valesid järeldusi. Metaandmete haldamine tähendab: 1) andmemudelite haldus; 2) mõõdikute haldus; 3) dimensioonide haldus; 4) andmekogude üleste klassifikaatorite ja koodilistide haldus.</t>
  </si>
  <si>
    <t>Positiivsete muutuste allikad: Andmete kasutatavus tekib metaandmete abil, kadude ennetamine ja vältimine</t>
  </si>
  <si>
    <t>PMK + kaasates erinevad osapooled</t>
  </si>
  <si>
    <t>Suurandmete süsteem (PMK)</t>
  </si>
  <si>
    <t> Tieto</t>
  </si>
  <si>
    <r>
      <t> Metaandmete</t>
    </r>
    <r>
      <rPr>
        <b/>
        <sz val="14"/>
        <color theme="1"/>
        <rFont val="Segoe UI"/>
        <family val="2"/>
        <charset val="186"/>
      </rPr>
      <t xml:space="preserve"> jagamise</t>
    </r>
    <r>
      <rPr>
        <sz val="14"/>
        <color theme="1"/>
        <rFont val="Segoe UI"/>
        <family val="2"/>
        <charset val="186"/>
      </rPr>
      <t xml:space="preserve"> teenus</t>
    </r>
  </si>
  <si>
    <t>Kasutajaliides; Veebiteenus; Andmehaldus</t>
  </si>
  <si>
    <t> Suurandmete süsteemi metaandmete jagamiseks peab olema loodud metaandmete jagamise teenus, et metaandmeid oleks võimalik kasutada koos andmekogude andmetega. </t>
  </si>
  <si>
    <t>Positiivsete muutuste allikad: andmete otsimine üle erinevate andmebaaside ühtlustub. Tõlgendamise ajakulu väheneb laiapõhjaliselt. Kasutatavus ja leitavus paranevad (sisuliselt tekib laiendatud kasutamine).</t>
  </si>
  <si>
    <t>Veebiteenus; Andmehaldus</t>
  </si>
  <si>
    <t>Kõikidele Suurandmete andmekogude analüüsi käigus tuvastatud andmete jagamise vajadustele tuleb luua teenused. Teenuste arv = jagatavate andmekomplektide arv. Igast andmekogust tekib mitu jagatavat andmekomplekti. Jagatud andmekomplektid on kõikide teiste teenuste loomise aluseks. Andmete jagamine on Põllumajanduse Suurandmete süsteemi põhiteenus. Kõik andmete jagamise teenused ei pea olema füüsiliselt Suurandmete süsteemis. Osadel andmekogudel(näiteks PRIA põllumassiivide register, maakataster jt) on juba täna andmete jagamise teenused olemas. (Avaandmed + AK andmed)</t>
  </si>
  <si>
    <t>Positiivsete muutuste allikad: eeldus uute innovaatiliste teenuste tekkeks mida riik ise ei paku</t>
  </si>
  <si>
    <t>Uus</t>
  </si>
  <si>
    <t>Hetkel ei eksisteeri veebiteenuse kaudu taotluste esitamist. PRIA nägemus on, et taotluse esitamine võiks tulevikus käia põllumajandustarkvarast (ePõlluraamatust) ühe klikiga, millega tootja kinnitab, kas ta soovib või ei soovi toetust. Ülejäänud andmed edastatakse juba automaatselt PRIA-le ilma, et et tootja peaks kogu põldude infot ja tööde andmestikku sisse tippima e-PRIA-s, mis võib võtta tunde.</t>
  </si>
  <si>
    <t>Positiivsete muutuste allikad: Toetuste taotlejad hoiavad kokku miljoneid töötunde.</t>
  </si>
  <si>
    <t>Tieto</t>
  </si>
  <si>
    <t>Kasutajaliides; Veebiteenus</t>
  </si>
  <si>
    <t>Olemasolev (PRIA veebis on osaliselt olemas)</t>
  </si>
  <si>
    <t>Positiivsete muutuste allikad: toetuse taotleja hoiab olulisel määral aega kokku, kui saab ühest kohast leida kõik tema tegevusele kohanduvad nõuded.</t>
  </si>
  <si>
    <t>Olemasolev (kohandada suurandmete süsteemiga)</t>
  </si>
  <si>
    <t>Kalkulaator võimaldab põllumajandustootja klassifitseerimist FADN tootjate skaalale, et tootja saaks võrrelda enda majandustulemisu keskmiste majandustulemustega, mis FADN statistika tegemisel välja arvutatakse. Hetkel on selline kalkulaator olemas aadressil https://www.maainfo.ee/data/so_calc2/ . Kui eeldada, et FADN-i andmed hakkaksid olema visualiseeritud Suurandmete süsteemis, siis võiks ka kalkulaator samas süsteemis asuda.</t>
  </si>
  <si>
    <t xml:space="preserve">Positiivsete muutuste allikad: </t>
  </si>
  <si>
    <t>PMK (FADN)</t>
  </si>
  <si>
    <t>Positiivsete muutuste allikad: Ettevõtte töö / tulemuse hindamine + Positiivsete muutuste allikad: standardnäitajate andmeid on võimalik kasutada põllumajandustarkvarades võrdluseks konkreetse ettevõtte näitajatega.</t>
  </si>
  <si>
    <r>
      <t>Huumusbilansi kalkulaator on 2015 aasta mineraalmuldade huumusseisundi hindamiseks koostatud tabelarvutusprogramm, mis võimaldab etteantud sisenditest lähtuvalt hinnata huumusbilanssi (kg/ha) ja huumusvaru muutust (% algarvust aastas) nii põllupõhiselt kui ka külvikorra kohta kaalutud keskmisena. Suurandmete süsteemi tuleks luua teenus, mis võimaldaks samu arvutusi teha aga kasutades erinevate andmekogude andmeid nii, et kasutaja ei peaks sisestama kõiki sisendandmeid käsitsi programmi.</t>
    </r>
    <r>
      <rPr>
        <b/>
        <sz val="11"/>
        <color rgb="FF000000"/>
        <rFont val="Segoe UI"/>
        <family val="2"/>
        <charset val="186"/>
      </rPr>
      <t xml:space="preserve"> </t>
    </r>
  </si>
  <si>
    <t>Positiivsete muutuste allikad: Saagikus, külvikorra sisu, väetise kasutus, keskkonna koormus/süsiniku emissioon (3-s osapool, tootja 80%, teadlaskond, ametkond (20%).   </t>
  </si>
  <si>
    <t>EMÜ</t>
  </si>
  <si>
    <t>Suurandmete süsteem (PMK)</t>
  </si>
  <si>
    <t>Kasutajateenus; Kasutajaliides; Veebiteenus</t>
  </si>
  <si>
    <t>Näide: M01; M08; M112;</t>
  </si>
  <si>
    <t>Positiivsete muutuste allikad: Saagikus, külvikorra sisu, väetise kasutus, keskkonna koormus/süsiniku emission (3-s osapool, tootja 80%, teadlaskond, ametkond (20%).  </t>
  </si>
  <si>
    <t> Suurandmete süsteem (PMK)</t>
  </si>
  <si>
    <t>Veebiteenus</t>
  </si>
  <si>
    <t>Olemasolev (riigiasutustele)</t>
  </si>
  <si>
    <t xml:space="preserve">NDVI indeksi töötluse kättesaadavaks tegemine turuosalistele teenusena. NDVI on kõige tuntum ja kasutatavam vegetatsiooniindeks, mis on otseses korrelatsioonis taimkatte tiheduse ja elujõulisusega. Lokaalsel e. põllutasandil saab kasutada stressifaktorite visualiseerimiseks (lopsakamate taimedega põllualad versus kängujäänud taimedega põllualad). Indeks on tundlik atmosfäärimõjuritele n pilvkate. Tundlik ka mulla niiskussisaldusele st niiske muld võib NDVI väärtusi mõjutada. Täiendav lisaväärtus tekib kui NDVI andmestikku täiendada SWIR andmestikuga. </t>
  </si>
  <si>
    <t>Suurandmete süsteem (PMK) / Esthub?</t>
  </si>
  <si>
    <t>Kasutajaliides, veebiteenus</t>
  </si>
  <si>
    <t>Olemasolev, muudatused vajalikud kuna on puudulik</t>
  </si>
  <si>
    <r>
      <t> </t>
    </r>
    <r>
      <rPr>
        <sz val="11"/>
        <color rgb="FF1F497D"/>
        <rFont val="Segoe UI"/>
        <family val="2"/>
        <charset val="186"/>
      </rPr>
      <t xml:space="preserve">Suurandmete süsteemi võiksid lisanduda andmed põllumajanduses kasutatavate põllukultuuride sortide ja seemnete kohta. Sordiandmeid hakkab alates 1.01.2020 koguma Põllumajandusamet, kuid juhul kui tootjad kannaksid tootmises kasutatud sordi ja seemne andmed põlluraamatusse, kust automaatselt andmed liiguksid kesksüsteemi, siis oleks lihtsustatud nii ettevõtjate kui PMA kohustused. </t>
    </r>
  </si>
  <si>
    <t>Positiivsete muutuste allikad: Andmed PMA-le. Ei kasutata üle kõigi süsteemide, sisend paremate otsuste tegemisel. Kvaliteetsed soovitused, suurem võimalik saagikus, ilmastiku kindluse info, väetise kokkuhoid ja keskkonna koormuse vähenemine jne...</t>
  </si>
  <si>
    <t>PMA, (puutumus PMK, ETKI)</t>
  </si>
  <si>
    <t> MEM</t>
  </si>
  <si>
    <t>Positiivsete muutuste allikad: sisendite efektiivsem kasutamine kui õige, asukohale ja tingimustele vastav sort valitud, väheneb põllumehe ajakulu seoses sordivaliku protsessiga</t>
  </si>
  <si>
    <t>ETKI</t>
  </si>
  <si>
    <t>ETKI, Kalvi</t>
  </si>
  <si>
    <t>Teostada ISO 11783 toetatavate masinate genereeritav andmevahetusteenus, mis loob tehnilised eeldused, et tänasest enam andmeid saab standardses formaadis küsida ja põllumajandustootja saab neid ka standardses vormis esitada. Miinimum andmekomplekt, mis võiks olla elektroonilise põlluraamatu täitmise sisuks.</t>
  </si>
  <si>
    <t>Positiivsete muutuste allikad:  E_põlluramaatu andmete tekitamine, admin koormuse vähenemine, andmete aktuaalsus ja andmete väiksem manipuleeritavus.</t>
  </si>
  <si>
    <t>Riikliku E-Põlluraamatu pidaja</t>
  </si>
  <si>
    <t>Tieto, EMÜ</t>
  </si>
  <si>
    <t>Olemasolev</t>
  </si>
  <si>
    <t>Hetkel on olemas kasutajaliidese kaudu andmete jagamine. Tuleks luua ka veebiteenus. Samuti viia sisse täiendusi, mis on kirjeldatud analüüsidokumendis.</t>
  </si>
  <si>
    <t>Positiivsete muutuste allikad: sordivõrdluskatsete info muutub integreeritavaks teiste andmetega ja seda on võimalik kasutada põlluhalduse- ja analüüsi tarkvarades.</t>
  </si>
  <si>
    <t>(PMK/ETKI)</t>
  </si>
  <si>
    <t>Sortide info kasutamine käib hetkel erinevates süsteemides erinevate klassifikaatorite ja nende versioonide alusel. Teenus on eelduseks ePõlluraamatu kasutamiseks.</t>
  </si>
  <si>
    <t>Positiivsete muutuste allikad: sordinimede kasutamine ühlustub ja eirnevate andmekogude andmestikud muutuvad võrreldavaks.</t>
  </si>
  <si>
    <t>PMA</t>
  </si>
  <si>
    <t> Sisaldab niiskusmudeli NDWI ja NDWI1 integreeritud teenuse (P6.2) ja "Integreeritud ilmastikuandmete" (P8) korrelatsiooni tulemusi.</t>
  </si>
  <si>
    <t>Suurandmete süsteem (PMK) Esthub?</t>
  </si>
  <si>
    <t>Olemasolev kasutajaliides ja veebiteenus  Jaamade võrgustik vaja (agromet vaates)</t>
  </si>
  <si>
    <t>Integreerida, standardiseerida ja ühtlustada ilmastiku andmed erinevate osapoolte poolt kasutamiseks, et oleks võimalik mitmekordistada täna kasutatud ilmainfot põllumajandusotsuste kvaliteedi tõstmiseks, sektorile laiemalt ning luua ka lisaväärtust teistele sektoritele.  Positiivsete muutuste allikad: Täpsem tööde planeerimine, saagi hävimise ennetamine </t>
  </si>
  <si>
    <t>KAUR (EMHI?) ETKI?</t>
  </si>
  <si>
    <t>Positiivsete muutuste allikad: Põllutöö tegemise soovituse õigeaegne kätte saamine võib päästa saagi.</t>
  </si>
  <si>
    <t>(ETKI)</t>
  </si>
  <si>
    <t>Hetkel on erinevate ilmajaamade andmeid võimalik kätte saada erinevaid kanaleid pidi. Tuleks luua üks ilmaandmete teenust, mille sisse on integreeritud erinevate ilmajaamade andmed.  St andmete kasutaja ei pea ise hakkama kümneid portaale ja jaamu integreerima. Ilm on põllumajanduse võtmeküsimus.</t>
  </si>
  <si>
    <t>Positiivsete muutuste allikad: täpne ilmainfo ja selle põhjal tehtud järeldused ning tööplaanid on põllumajandusliku tootmise ja eriti taimekasvatuse üks olulisemaid alustalasid.</t>
  </si>
  <si>
    <t>Hetkel puudub väetiste registril veebiteenus. Kõik väetiste andmeid kasutavad süsteemid on loonud väetiste osas oma lähenemise ja süsteemides paiknev info ei ole automaatselt kokku viidav väetiste registriga, mille tõttu on keeruline andmete põhjal aru saada, millises väetisest täpselt jutt käib.</t>
  </si>
  <si>
    <t>Positiivsete muutuste allikad: Väetiste andmete ühesugune kasutamine võimaldab üheselt aru saada, milliseid väetiste andmeid riigis kasutatakse.</t>
  </si>
  <si>
    <t>Hetkel ei ole taimekaitsevahendite register üle veebiteenuste kättesaadav. Selle tõttu puudub vahendite andmete ühtne kasutus ja erinevate andmebaaside andmeid on keeruline kokku viia.  Veebiteenuse kaudu jagatud taimekaitsevahendite info aitab ühtlustada info kasutust. See on eeldus kogu riigis tervikpildi kokku saamiseks.</t>
  </si>
  <si>
    <t>Positiivsete muutuste allikad: Tekib eeldus taimekaitsevahendite kasutusest tervikpildi loomisel.</t>
  </si>
  <si>
    <t>olemas on kasutajaliides + vajalik veebiteenus (uus)</t>
  </si>
  <si>
    <t xml:space="preserve"> Positiivsete muutuste allikad: Väetustarve läbi kokkuhoiu ja läbi efektiivsuse, kasu väetiste ostuprotsessis. Lupjamissoovitused lähtuvalt põllu mulla omadustest, lupjamisaine omadustest , eelnevatest lupjamistest (võimalik tuua andmed juba tehtud mullaproovidest). </t>
  </si>
  <si>
    <t>PMK</t>
  </si>
  <si>
    <t>UUS</t>
  </si>
  <si>
    <r>
      <t>NDWI: "</t>
    </r>
    <r>
      <rPr>
        <b/>
        <i/>
        <sz val="11"/>
        <color rgb="FF172B4D"/>
        <rFont val="Segoe UI"/>
        <family val="2"/>
        <charset val="186"/>
      </rPr>
      <t>N</t>
    </r>
    <r>
      <rPr>
        <i/>
        <sz val="11"/>
        <color rgb="FF172B4D"/>
        <rFont val="Segoe UI"/>
        <family val="2"/>
        <charset val="186"/>
      </rPr>
      <t xml:space="preserve">ormalized </t>
    </r>
    <r>
      <rPr>
        <b/>
        <i/>
        <sz val="11"/>
        <color rgb="FF172B4D"/>
        <rFont val="Segoe UI"/>
        <family val="2"/>
        <charset val="186"/>
      </rPr>
      <t>D</t>
    </r>
    <r>
      <rPr>
        <i/>
        <sz val="11"/>
        <color rgb="FF172B4D"/>
        <rFont val="Segoe UI"/>
        <family val="2"/>
        <charset val="186"/>
      </rPr>
      <t xml:space="preserve">ifference </t>
    </r>
    <r>
      <rPr>
        <b/>
        <i/>
        <sz val="11"/>
        <color rgb="FF172B4D"/>
        <rFont val="Segoe UI"/>
        <family val="2"/>
        <charset val="186"/>
      </rPr>
      <t>W</t>
    </r>
    <r>
      <rPr>
        <i/>
        <sz val="11"/>
        <color rgb="FF172B4D"/>
        <rFont val="Segoe UI"/>
        <family val="2"/>
        <charset val="186"/>
      </rPr>
      <t xml:space="preserve">ater </t>
    </r>
    <r>
      <rPr>
        <b/>
        <i/>
        <sz val="11"/>
        <color rgb="FF172B4D"/>
        <rFont val="Segoe UI"/>
        <family val="2"/>
        <charset val="186"/>
      </rPr>
      <t>I</t>
    </r>
    <r>
      <rPr>
        <i/>
        <sz val="11"/>
        <color rgb="FF172B4D"/>
        <rFont val="Segoe UI"/>
        <family val="2"/>
        <charset val="186"/>
      </rPr>
      <t>ndex"</t>
    </r>
    <r>
      <rPr>
        <sz val="11"/>
        <color rgb="FF172B4D"/>
        <rFont val="Segoe UI"/>
        <family val="2"/>
        <charset val="186"/>
      </rPr>
      <t xml:space="preserve">. Vee indeks, iseloomustab </t>
    </r>
    <r>
      <rPr>
        <b/>
        <sz val="11"/>
        <color rgb="FF172B4D"/>
        <rFont val="Segoe UI"/>
        <family val="2"/>
        <charset val="186"/>
      </rPr>
      <t>taimestikus</t>
    </r>
    <r>
      <rPr>
        <sz val="11"/>
        <color rgb="FF172B4D"/>
        <rFont val="Segoe UI"/>
        <family val="2"/>
        <charset val="186"/>
      </rPr>
      <t xml:space="preserve"> leiduvat vee hulka, mis valguskiirgusele reageerib. Atmosfäärihäiringutele vähem tundlik kui NDVI. NDWI2:"The second Normalized Difference Water Index". Vee indeks, mis töötati välja kajastamaks märgade alade pinnavett (ka vee hulka pinnases) ja väikesi veekogusid. Töötlusteenuse väljundiks võiks olla liigniiskuse ja põuakahjude täiendav analüütika ning võimalike kompensatsioonide paremini sihitud suunamine.  </t>
    </r>
  </si>
  <si>
    <t>Positiivsete muutuste allikad:</t>
  </si>
  <si>
    <t xml:space="preserve">Hinnata maaparanduse seisukohalt maaparandussüsteemide toimimist kaugseire läbi. Tulemuse info ka maaomanikule, kuhu tuleb suunata fookus, et maad saaks järjepidevalt kasutada ning ametkonnale riskipõhine teave, kuhu suunata fookus. Kombineerides mullastikuga võimalik riske juba pikemalt ette arvestada. Vajadusel tulemuse saamiseks võimalik kombineerida muude võimalustega. </t>
  </si>
  <si>
    <t>Positiivsete muutuste allikad: Operatiivne info niiskusbilansi säilitamiseks. Seos maaparandussüsteemide seire, kontrolli ja automatiseerimisega. Tõhustab kommunikatsiooni ja kiirust maaparandussüsteemide haldajate ja põllumeeste vahel.</t>
  </si>
  <si>
    <t>PMA, MeM</t>
  </si>
  <si>
    <t>Hetkel on teenus Maa-ametil olemas, kuid seda ei õnnestunud Suurandmete projekti käigus tööle saada. Teenus tuleks tööle saada, kuna selles liikuv info on aluseks paljudele teistele teenustele. Infot on tarvis WFS ja WMS teenusena ning ka ka tavalise REST veebiteenusena.</t>
  </si>
  <si>
    <t>Positiivsete muutuste allikad: Tekib eeldus teiste mullastikuga seotud teenuste loomiseks.</t>
  </si>
  <si>
    <r>
      <t>Olemasolevate pideva jälgimisega mullaandurite andmebaasi andmete kasutamine kaugseire „</t>
    </r>
    <r>
      <rPr>
        <i/>
        <sz val="11"/>
        <color rgb="FF172B4D"/>
        <rFont val="Segoe UI"/>
        <family val="2"/>
        <charset val="186"/>
      </rPr>
      <t>ground truth</t>
    </r>
    <r>
      <rPr>
        <sz val="11"/>
        <color rgb="FF172B4D"/>
        <rFont val="Segoe UI"/>
        <family val="2"/>
        <charset val="186"/>
      </rPr>
      <t>“ väärtusena ning arvutusmudelite pidevaks parendamiseks, sh. masinõppe kasutamise teel ning vastavate algoritmide välja töötamine. Teenuse kirjeldus: Reaalajas mullaandurid mõõdavad otseselt mulla elektrilisi omadusi ja niiskust, mulla soolsust (väetiste sisaldust) ning mulla temperatuuri. Nende tulemuste integreerimine kaugseire ning muude andmekogudega ning ka ilmaennustusega võimaldab  anda soovitusi tööde õigeaegseks teostamiseks, väetiste efektiivsemaks rakendamiseks, kontrollida ja kaardistada toitainete leostumist jms. Näiteks kõrvutades mullaniiskuse andmete aegrida anduritelt reaalsete sademetega saame ennustada mullaniiskuse käitumist tulevikus ning täpsustada sellega väetiste kasutust ja vähendada toitainete leostumist ja anda soovitusi tööde õigeaegseks teostamiseks põllul. Teenuse aluseks oleks reaalajas toimivate NBiOT võrgus olevate elektriliste mullaanduritega (percoandurid) kogu Eestit katva süsteemi ja andmebaasi väljaehitamine ning tulemuste integreerimine kaugseire andmebaasiga  ja olemasolevate agrometeoroloogiliste andmekogudega. Selleks tuleks välja ehitada välja Eestit kattev esinduslik mullaandurite võrk ja andmebaas percoandurite baasil, mis võimaldab kogu Eesti ulatuses täpsustada ja parendada kaugseire andmete kasutamist mullastikus valitseva tegeliku olukorra alusel. Töötada välja AI-l põhinevad mudelid kõikide mõõteandmete paremaks kasutamiseks põllumajanduslike ressursside juhtimisel.</t>
    </r>
  </si>
  <si>
    <t>Positiivsete muutuste allikad: külvi ja koristusaja ajastamine</t>
  </si>
  <si>
    <t>ETKI, Tiit</t>
  </si>
  <si>
    <t>Positiivsete muutuste allikad: Avaliku jaoks oluliste andmete standardiseeritud vormis kättesaadavus, kontrollivõimaluste täienemine ja sisendinfo täiustatud põlluraamatu loomiseks 3-ndale osapoolele.</t>
  </si>
  <si>
    <t>Olemas on kasutajaliides + vajalik pistik (uus)</t>
  </si>
  <si>
    <t xml:space="preserve">Positiivsete muutuste allikad: Keskkonna kahju vähenemine, otsene vilja kvaliteet + (väetiste punkti kasud) + Positiivsete muutuste allikad: Võimalik uusi kasutajateenuseid  liita ja 3-del osapooltel tagasi infot pakkuda. </t>
  </si>
  <si>
    <t>Statistikaametile sisuline teenus. Baseerub külvikordade ja saagikuse prognoosil, mis agregeeritakse makrotasandile. </t>
  </si>
  <si>
    <t xml:space="preserve">Positiivsete muutuste allikad: Võimalus täiendavate teenuste loomiseks. </t>
  </si>
  <si>
    <t>Mati</t>
  </si>
  <si>
    <t>Positiivsete muutuste allikad: Saagiandmestik on aluseks planeeritavate saakide hindamisel. Väetamise, taimekaitse jmt võtete efektiivsuse hindamisel. Saagid on võimalik teisendada metaboliseeruvale energiale ja seega selgitada saagikuse muutumist ja muutlikkust ajas ning ruumis. Mooduli andmestik on aluseks paljude teiste moodulite prognoositäpsuse hindamisel.</t>
  </si>
  <si>
    <t>PMK koostöös ETKI ja EMÜ-ga</t>
  </si>
  <si>
    <t>Positiivsete muutuste allikad:  Töö planeerimine, eeldatavad kvaliteedi parameetrid (eelinfo turustamiseks)</t>
  </si>
  <si>
    <t>  Suurandmete süsteem (PMK)</t>
  </si>
  <si>
    <t>Kasutajaliides</t>
  </si>
  <si>
    <t>Positiivsete muutuste allikad: Klienditeeninduse ja kasutajate aeg. Leitavus ja kompetentsi nõustaja. 24/7. Masinõpe - pildi tuvastus kahjurid ja haigused ja umbrohud - info mida inimene ei suuda küsida.    </t>
  </si>
  <si>
    <t>Positiivsete muutuste allikad: Ökoloogilise seisundi kontroll, talunikul lihtne reegleid järgida. Mesinike automaatteavituse võimalus?</t>
  </si>
  <si>
    <t>KAUR, Maamet</t>
  </si>
  <si>
    <t>Uus (PMK rakendus tasub üle vaadata)</t>
  </si>
  <si>
    <t>Positiivsete muutuste allikad: Integreeritud taimekaitse põhimõtete parem järgimine , mullas olevate toitainete efektiivsem kasutamine. Keskkonna kasu + põllumees saab kasutada vähem taimekaitse vahendeid e rahaline kasu. Positiivsete muutuste allikad: suurem saagikus, väetiste efektiivsem kasutamine. Kas sama väetise koguse kohta suurem saak v vähendatud väetise koguse kohta sama saak ehk sisenkulude kokkuhoid.</t>
  </si>
  <si>
    <t>ETKI (Kalvi), EMÜ</t>
  </si>
  <si>
    <r>
      <t xml:space="preserve"> S2REP: </t>
    </r>
    <r>
      <rPr>
        <i/>
        <sz val="11"/>
        <color rgb="FF172B4D"/>
        <rFont val="Segoe UI"/>
        <family val="2"/>
        <charset val="186"/>
      </rPr>
      <t xml:space="preserve">"The </t>
    </r>
    <r>
      <rPr>
        <b/>
        <i/>
        <sz val="11"/>
        <color rgb="FF172B4D"/>
        <rFont val="Segoe UI"/>
        <family val="2"/>
        <charset val="186"/>
      </rPr>
      <t>S</t>
    </r>
    <r>
      <rPr>
        <i/>
        <sz val="11"/>
        <color rgb="FF172B4D"/>
        <rFont val="Segoe UI"/>
        <family val="2"/>
        <charset val="186"/>
      </rPr>
      <t>entinel-</t>
    </r>
    <r>
      <rPr>
        <b/>
        <i/>
        <sz val="11"/>
        <color rgb="FF172B4D"/>
        <rFont val="Segoe UI"/>
        <family val="2"/>
        <charset val="186"/>
      </rPr>
      <t>2</t>
    </r>
    <r>
      <rPr>
        <i/>
        <sz val="11"/>
        <color rgb="FF172B4D"/>
        <rFont val="Segoe UI"/>
        <family val="2"/>
        <charset val="186"/>
      </rPr>
      <t xml:space="preserve"> </t>
    </r>
    <r>
      <rPr>
        <b/>
        <i/>
        <sz val="11"/>
        <color rgb="FF172B4D"/>
        <rFont val="Segoe UI"/>
        <family val="2"/>
        <charset val="186"/>
      </rPr>
      <t>R</t>
    </r>
    <r>
      <rPr>
        <i/>
        <sz val="11"/>
        <color rgb="FF172B4D"/>
        <rFont val="Segoe UI"/>
        <family val="2"/>
        <charset val="186"/>
      </rPr>
      <t>ed-</t>
    </r>
    <r>
      <rPr>
        <b/>
        <i/>
        <sz val="11"/>
        <color rgb="FF172B4D"/>
        <rFont val="Segoe UI"/>
        <family val="2"/>
        <charset val="186"/>
      </rPr>
      <t>E</t>
    </r>
    <r>
      <rPr>
        <i/>
        <sz val="11"/>
        <color rgb="FF172B4D"/>
        <rFont val="Segoe UI"/>
        <family val="2"/>
        <charset val="186"/>
      </rPr>
      <t xml:space="preserve">dge </t>
    </r>
    <r>
      <rPr>
        <b/>
        <i/>
        <sz val="11"/>
        <color rgb="FF172B4D"/>
        <rFont val="Segoe UI"/>
        <family val="2"/>
        <charset val="186"/>
      </rPr>
      <t>P</t>
    </r>
    <r>
      <rPr>
        <i/>
        <sz val="11"/>
        <color rgb="FF172B4D"/>
        <rFont val="Segoe UI"/>
        <family val="2"/>
        <charset val="186"/>
      </rPr>
      <t xml:space="preserve">osition index" </t>
    </r>
    <r>
      <rPr>
        <sz val="11"/>
        <color rgb="FF172B4D"/>
        <rFont val="Segoe UI"/>
        <family val="2"/>
        <charset val="186"/>
      </rPr>
      <t xml:space="preserve">Sentinel 2 spetsiifiline indeks, mis põhineb Vegetation Red Edge lainepikkuste erineval kajastamisel. Lansat 8 sensor seda spektrivahemikku ei salvestanud, Sentinel 2 omab aga suisa kolme kitsast kanalit selles lõigus. Võimaldab paremini hinnata taimestiku klorofüllisisaldust, lämmastikusisaldust ning kasvustaatust. GNDVI: Green Normalized Difference Vegetation Index. Taimkatte indeks, mis on NDVI-st tundlikum klorofülli hulgale, mis omakorda on korrelatsioonis lämmastikuga. Töötlusteenuse väljundiks võiks olla mullaproovide toetav valideerimisandmestik ja põllumajandustootjale täppispõllumajandust toetav töösisend. </t>
    </r>
  </si>
  <si>
    <t>See töötab Eestis testituna soomuldadel päris hästi (nt. jääksood paljast turvaspinnasest kuni loodusliku rabataimestikuni) ja väidetavalt muudel muldadel/taimkattega aladel ka. Põllumajanduses peaks NDVI-st paremini/täpsemini peegeldama taimede arengufaasi üleminekuid (nt. kõrsumine, vahaküpsus jmt, kus muutub veesisaldus taimes, aga klorofüllisisalduse muutus ei pruugi olla võrreldava kiirusega). NDWI (Normalized Difference Water Index) indeks kasutades SWIR (short wave infrared) lainepikkust (Gao, 1996): Indeks kasutab NIR ja SWIR lainepikkusi, mistõttu peegeldab taimedes (ja soodes turbasammaldes/pinnases) veepuudusest tingitud stressiseisundit. Valmis produktina on Euroopa kaetud 10-päevase intervalliga 1x1 km võrgustikuna, Eestis vajalik ruumiline lahutus oleks minimaalselt 100x100 meetrit, eelistatult parem. SWIR täiendab NDVI teenust.Indeksi olemusest on põhjalikum ülevaade: http://edo.jrc.ec.europa.eu/documents/factsheets/factsheet_ndwi.pdf</t>
  </si>
  <si>
    <t>Positiivsete muutuste allikad:  Haigusseire, umbrohu seire, kohapealsete kontrollide vähenemine </t>
  </si>
  <si>
    <t>Olemas</t>
  </si>
  <si>
    <t xml:space="preserve">PRIA poolt edukalt piloteeritud NDVI ja sajuradari kombinatsioonis tuvastatav niitmisfakti tuvastamine. Eksisteerivad teatavad piirangud kuid on sisiki selge kokkuhoiuga teenusvõimalus. </t>
  </si>
  <si>
    <t>Positiivsete muutuste allikad: kulude kokkuhoid, piltootprojekt kasumis</t>
  </si>
  <si>
    <t>PRIA</t>
  </si>
  <si>
    <t>Kemit</t>
  </si>
  <si>
    <t>Kasutajateenus; Veebiteenus</t>
  </si>
  <si>
    <t xml:space="preserve">Ammoniaagi emissiooni kalkulaator. Ammoniaak ei ole küll kasvuhoonegaas aga ammoniaagi emissioon väetistest põhjustab õhusaastet ja veekogude eutrofeerumist ning põllkultuuridele lämmastiku kadu. Seega on riikidel nõue seda emissiooni piirata ning selle piiramine on kasulik ka põllumeestele. Ammoniaagi lendumist arvestatakse lähtuvalt loomaliigist, pidamisviisist, väetise omadustest, hoidla omadustest, väetise kogusest, laotamisviisist, laotusjärgsest mullaharimisest, laotusajast, laotuskoha agroklimaatilistest tingimustest jne. </t>
  </si>
  <si>
    <t>Positiivsete muutuste allikad: Võimaldab paremini hinnata ammoniaagi emissiooni vähendamise sihttaseme suunas liikumist (santktsioonide vältimine) Eesti riigi tasemel ja suurendada põllumeeste teadlikkust ammoniaagi emissiooni vähendavate võtete valiku osas ja seega vähendada keskkonna reostamist ja lämmastiku kadu (vähem lendub, enam jääb taimele, seeläbi väheneb min väetise vajaduse). See võiks olla element, mida kolmandad osapooled lisandväärtusena pakuvad.</t>
  </si>
  <si>
    <t>Positiivsete muutuste allikad: Väetiste planeerimise toitained õiges kohas, keskkonna kahju vähendamine</t>
  </si>
  <si>
    <t>Teadusasutustele ja PMKle piisava detailsusega (ananüümselt, kuid tootja tasandil) kompleksete päringute võimaldamine. Päringu tulemusel saadud andmed peaks võimaldama asendikeskmiste, gruppide erinevuste testimist (nn dispersioonanalüüsi erijuhud) ja ideaaljuhul regressioonanalüüsi läbiviimist. Nn päringumootor üle kõigi andmete. Eeldab, et dimensioonid ja mõõdikud on kindlaks määratud kogu suurandmestikus. </t>
  </si>
  <si>
    <t>Positiivsete muutuste allikad: Vajalike andmete saamiseks ei ole vajadust pöörduda konkreetse asutuse poole. </t>
  </si>
  <si>
    <t>MEM, PMK või EMÜ</t>
  </si>
  <si>
    <t>Olemasolev (osaliselt olemas PRIA veebis)</t>
  </si>
  <si>
    <t>Hetkel jagatakse toetuste  infot PRIA poolt vastava otsingusüsteemi abil, mis näitab viimase paari aasta andmeid.  Lisaks on avaldatud koondandmeid veebi artiklitena. Hetkel ei ole võimalust saada kätte toetuste andmete kogu ajalugu ning samuti kõikide toetusmeetmete kohta korraga. Vastavad andmed on infosüsteemis TAKS olemas.</t>
  </si>
  <si>
    <t>Positiivsete muutuste allikad: andmeanalüüs poliitika kujundamise jaoks muutub oluliselt lihtsamaks.</t>
  </si>
  <si>
    <t> Uus</t>
  </si>
  <si>
    <r>
      <t>Eesti tingimustesse sobiliku metoodika arendamine kasvuhoonegaaside emissiooni (KHG) hindamiseks talu ja põllu tasandil. Kasvuhoonegaaside kalkulaatori väljatöötamine, st KHG kalkulaatorite arendamine ja emissiooni faktorite korrigeerimine vastavalt mullastik-klimaatilistele tingimustele ja kasutatavatele agrotehnilistele võtetele erinevate kultuuride viljelemisel.</t>
    </r>
    <r>
      <rPr>
        <b/>
        <sz val="11"/>
        <color rgb="FF172B4D"/>
        <rFont val="Segoe UI"/>
        <family val="2"/>
        <charset val="186"/>
      </rPr>
      <t xml:space="preserve"> </t>
    </r>
  </si>
  <si>
    <t>Positiivsete muutuste allikad: Keskkonna koormus/süsiniku emissioon </t>
  </si>
  <si>
    <t> EMÜ, PMK</t>
  </si>
  <si>
    <t>Positiivsete muutuste allikad: Talunikule info, palju tema regioonis on laotamist võimalik teostada võttes arvesse ka teisi keda talunik ei tea ja riigil kontrollivõimalus. Marsruutide planeerimine. Sisend investeerimisotsusteks.</t>
  </si>
  <si>
    <t>ETKI (puutumus Keskkonna ameti teenusega) Küsida Kalvi Tammelt kommentaar.</t>
  </si>
  <si>
    <t>PMK (Mati)</t>
  </si>
  <si>
    <t>Positiivsete muutuste allikad: teoreetiliselt võiks see olla tööriist mille kasutuselevõtul saab näiteks finantseerimist pakkuda, taotlusi automaattäita, võrrelda end teistega.</t>
  </si>
  <si>
    <t>PMK, või erateenus </t>
  </si>
  <si>
    <t>Tulenevalt ettevõtte tootmismahust ja senisest varade rentaablusest arvutatakse uue põhivara tasuvus. Teenus vajab majandusnäitajaid, mida saab intgreerirda äriregistri või  FADN andmetel. </t>
  </si>
  <si>
    <t>Positiivsete muutuste allikad: tugi ja soovitused fin. otsustele andmete abil, millele tal endal ei ole ligipääsu, kogemust või võrdlusmaterjali. Tugi PRIA-le</t>
  </si>
  <si>
    <t>PMK või erateenus</t>
  </si>
  <si>
    <t>Ärilisel eesmärgil pakutav teenus täppisviljeluse seirealade süsteemi loomiseks, sh drooniga seiratavad pinnad Ootame metoodika hetkel ära. Lähikaugseire...</t>
  </si>
  <si>
    <t>EMÜ, PMK</t>
  </si>
  <si>
    <t>Positiivsete muutuste allikad: sisendite efektiivsem kasutamine. Masinate efektiivsem kasutamine, kogemsute laiendamine, oludele kõige sobivama tehnika valik lähtuvalt agrotehnilistest vajadustest. Avatakse kogu potentsiaal mis on otses sesoses saagikuse ja kvaliteediga.  </t>
  </si>
  <si>
    <t> PRIA poolt indikeeritud kontrolli lisavõimalus, põllumajandustootja jaoks eksimuste lisakontrollivõimalus ja E_Põlluraamatud eeltäitmise võimalik sisend</t>
  </si>
  <si>
    <t>Positiivsete muutuste allikad: Täidetud info automaatkontrollimine (E-põlluraamat)</t>
  </si>
  <si>
    <t>Põllumeestel tekib igal aastal hulgaliselt masinatest pärinevaid andmeid, mille haldus jääb tegemata. Kui luua põllumeestele lihtne ja turvaline keskkond failide säilitamiseks, on võimalik hankida hulgaliselt algandmeid.</t>
  </si>
  <si>
    <t>Positiivsete muutuste allikad: kasutatavad andmed on algsed ja tõesed. Vajadusel saab põllumees masina failist andmed otse vajalikesse registritesse edastada. Väheneb ajakulu ja paraneb andmete kvaliteet. Juba kogutud ja olemasolevatest andmetest saab suurem ring kasusaajaid osa.</t>
  </si>
  <si>
    <t>PMK või erateenus, ETKI</t>
  </si>
  <si>
    <t>ETKI, Taavi</t>
  </si>
  <si>
    <t>Kirjeldamata</t>
  </si>
  <si>
    <t xml:space="preserve">Positiivsete muutuste allikad: Palju huvitatud osapooli. </t>
  </si>
  <si>
    <t>*.8</t>
  </si>
  <si>
    <t> Mahepõllumajandustoodangu andmete kasutamine</t>
  </si>
  <si>
    <t> Mahepõllumajandusregistrisse kogutud toodangu andmete avaldamine ettevõtete asukohtade kaupa, mis liiki toodang, toodangu koguste suurusjärk. See võimaldaks mahetoodangu käitlejatel ja kokkuostajtel saada operatiivne informatsioon lepingute sõlmimiseks ja mahetoodangu väärindamiseks. Kaardirakenduste täiendamine.</t>
  </si>
  <si>
    <t>Positiivsete muutuste allikad: Andmete visualiseerimine, saagi turustamise abimees, tootja profiili asukohapõhine tutvustamine. Koostöö potentsiaal.</t>
  </si>
  <si>
    <t>Eesti MAhepõllumajanduse Sihtasutus (näiteks)</t>
  </si>
  <si>
    <t> PMA</t>
  </si>
  <si>
    <t>*.11</t>
  </si>
  <si>
    <t>Agrotehnoloogilised soovitused (sh Külvi-  ja koristusaja soovitused)</t>
  </si>
  <si>
    <r>
      <t xml:space="preserve">1) </t>
    </r>
    <r>
      <rPr>
        <b/>
        <sz val="11"/>
        <color rgb="FF172B4D"/>
        <rFont val="Segoe UI"/>
        <family val="2"/>
        <charset val="186"/>
      </rPr>
      <t>Külviaeg</t>
    </r>
    <r>
      <rPr>
        <sz val="11"/>
        <color rgb="FF172B4D"/>
        <rFont val="Segoe UI"/>
        <family val="2"/>
        <charset val="186"/>
      </rPr>
      <t xml:space="preserve"> lähtuvalt kohalikest agroklimaatilistest tingimustest, kultuuri sordist, ettevõttes kasvatatavate  kultuuride nimistust.  2) Soovituslik </t>
    </r>
    <r>
      <rPr>
        <b/>
        <sz val="11"/>
        <color rgb="FF172B4D"/>
        <rFont val="Segoe UI"/>
        <family val="2"/>
        <charset val="186"/>
      </rPr>
      <t>külvisenorm</t>
    </r>
    <r>
      <rPr>
        <sz val="11"/>
        <color rgb="FF172B4D"/>
        <rFont val="Segoe UI"/>
        <family val="2"/>
        <charset val="186"/>
      </rPr>
      <t xml:space="preserve"> lähtuvalt kavandatavast külviajast, kohalikest agroklimaatilistest tingimustest,  kultuuri sordist, seemne kvaliteedist ja külviviisist. </t>
    </r>
    <r>
      <rPr>
        <b/>
        <sz val="11"/>
        <color rgb="FF172B4D"/>
        <rFont val="Segoe UI"/>
        <family val="2"/>
      </rPr>
      <t>3) Koristamisaja soovitused -</t>
    </r>
    <r>
      <rPr>
        <sz val="11"/>
        <color rgb="FF172B4D"/>
        <rFont val="Segoe UI"/>
        <family val="2"/>
      </rPr>
      <t xml:space="preserve"> nt siloseire, kultuuri sordiomadustest ja monitooringu tulemusi arvestavalt. </t>
    </r>
  </si>
  <si>
    <t>Positiivsete muutuste allikad: võimalik suurem saagikus lähtuvalt parematest algandmetest (parem ajastus, enam positiivse kasvu päevi), väetiste ja seemnete efektiivsem kasutamine. </t>
  </si>
  <si>
    <t>*.12</t>
  </si>
  <si>
    <t>Koristamisaja soovitused lähtuvalt kohalikest agroklimaatilistest tingimustest, siloseire tulemustest, kultuuri sordi omadustest, saagikuse ja kvaliteedi prognoosimudelist, kaugseire tulemuste ja maapealse monitooringu tulemusest.</t>
  </si>
  <si>
    <t>Positiivsete muutuste allikad: saagikus, saagi kvaliteet, sisendite efektiivsem kasutamine, lihtsustab tööde kavandamist, masinate kasutamise parem efektiivsus. Siia annaks luua 3 osapoole teenus sisendite korjamiseks põllumehelt mis parandab prognoosimudelit, samuti riigisektorilt.</t>
  </si>
  <si>
    <t>8.6</t>
  </si>
  <si>
    <t>Konkreetsetesse tingimustesse sobivate SAT piltide (ESTHub) otsinguteenus</t>
  </si>
  <si>
    <t>Hetkel on ESTHubi SAT piltide otsing üldine. Pole otseselt suunatud põllumajanduse jaoks info leidmisele. Põllumajanduse jaoks sobivad ainult teatud satelliitide ja teatud muude omadustega pildid. Kuna SAT andmeid on palju, siis tuleks põllumajanduse jaoks moodutada automaatselt valim, millest on juba tunduvalt lihtsam jõuda õigete piltide ja pildiseeriateni. Maa-ametilt on võimalik piltidele tellida täiendavaid töötluseid. Ka töötlused on üks valimisse sattumise kriteeriume.</t>
  </si>
  <si>
    <t>Positiivsete muutuste allikad: satelliidi piltida andmebaas muutub põllumajanduse jaoks kasutatavaks.</t>
  </si>
  <si>
    <t>*.3</t>
  </si>
  <si>
    <t>Riskipõhine taimekaitsevahendite kasutamise kontroll (sõltub masinandmete teenusest)</t>
  </si>
  <si>
    <t xml:space="preserve">Positiivsete muutuste allikad: kohapealsete kontrollide vähenemine. </t>
  </si>
  <si>
    <t>*.15</t>
  </si>
  <si>
    <t>Turule sekkumise soovitaja</t>
  </si>
  <si>
    <t>Hetkel toimub põllumajandustoodete turule sekkumine viivitusega. Kõrvutades eelmiste aastate turukorralduse (TUKS) andmed  ja ePõlluraamatu saagi või saagiennustuse andmed oleks võimalik tuvastada saagi ülekülluse tekkimise oht ning vastavalt sellele sekkuda turule operatiivsemalt ja efektiivsemalt. Teenuse kasutaja võib olla nii põllumajandustootja, kui ka PRIA. </t>
  </si>
  <si>
    <t>Positiivsete muutuste allikad: turule sekkumise õige tabamine hoiab ära majanduslikke kahjusid, mida hindade kõikumised võivad põhjustada. </t>
  </si>
  <si>
    <t>PMK/Tieto</t>
  </si>
  <si>
    <t>*.4</t>
  </si>
  <si>
    <r>
      <rPr>
        <b/>
        <sz val="14"/>
        <color theme="1"/>
        <rFont val="Segoe UI"/>
        <family val="2"/>
        <charset val="186"/>
      </rPr>
      <t>Taimekahjustajate leviku</t>
    </r>
    <r>
      <rPr>
        <sz val="14"/>
        <color theme="1"/>
        <rFont val="Segoe UI"/>
        <family val="2"/>
        <charset val="186"/>
      </rPr>
      <t xml:space="preserve"> info jagamine ja taimekahjustajate leviku </t>
    </r>
    <r>
      <rPr>
        <b/>
        <sz val="14"/>
        <color rgb="FFFF0000"/>
        <rFont val="Segoe UI"/>
        <family val="2"/>
        <charset val="186"/>
      </rPr>
      <t>prognoos</t>
    </r>
  </si>
  <si>
    <t>Olemasolev (osaliselt EKTI-l olemas)</t>
  </si>
  <si>
    <t>Positiivsete muutuste allikad: info taimekahjustajate levikust ehk saagi hävimise ohust jõuab põllumajandustootja töölauale ilma, et seda oleks tarvis eraldi veebilehelt otsimas käia. See võimaldab põllumajandustootjal reageerida olukorrale kiiremini ja hoida kokku info otsimisele kulutatavat aega.</t>
  </si>
  <si>
    <t>3.3</t>
  </si>
  <si>
    <t> Täiendavad teenused EL komisjoni poolt toetatud kontrollide osas mis on kaugseires toetatud ja tunnustatud eesmärgiga vähendada kohapealsete kontrollide osakaalu.</t>
  </si>
  <si>
    <t>Urmas täpsustab</t>
  </si>
  <si>
    <t>Kaugseire võimlusi on võimalik rakendada oluliselt enamate kontrollmeetmete rakendamiseks kui seda täna tehakse. On riike, kes seda ka enam rakendab kuid hetkel on lähtutud praktikast, et oodatakse ära Euroopa Komisjoni seisukohad antud küsimuses. Täpsustada PRIAGA</t>
  </si>
  <si>
    <t>Positiivsete muutuste allikad:  Kulude kokkuhoid</t>
  </si>
  <si>
    <t>Kemit?</t>
  </si>
  <si>
    <t>Sihtrühma osakaal, %</t>
  </si>
  <si>
    <r>
      <t xml:space="preserve">Otsene tulu, </t>
    </r>
    <r>
      <rPr>
        <b/>
        <sz val="11"/>
        <color theme="1"/>
        <rFont val="Calibri"/>
        <family val="2"/>
      </rPr>
      <t>€/a</t>
    </r>
  </si>
  <si>
    <r>
      <t xml:space="preserve">sh otsene tulu kahju vältimisest, </t>
    </r>
    <r>
      <rPr>
        <b/>
        <sz val="11"/>
        <color theme="1"/>
        <rFont val="Calibri"/>
        <family val="2"/>
      </rPr>
      <t>€/a</t>
    </r>
  </si>
  <si>
    <r>
      <t xml:space="preserve">sh tulu tööaja kokkuhoid, </t>
    </r>
    <r>
      <rPr>
        <b/>
        <sz val="11"/>
        <color theme="1"/>
        <rFont val="Calibri"/>
        <family val="2"/>
      </rPr>
      <t>€/a</t>
    </r>
  </si>
  <si>
    <r>
      <t xml:space="preserve">Teenuse kulu kokku, </t>
    </r>
    <r>
      <rPr>
        <b/>
        <sz val="11"/>
        <color theme="1"/>
        <rFont val="Calibri"/>
        <family val="2"/>
      </rPr>
      <t>€</t>
    </r>
  </si>
  <si>
    <t>sh andmekogu, liidese ja teenuse arendus, €/a</t>
  </si>
  <si>
    <t>sh andmehõive, töötlus ja avaldamine, €/a</t>
  </si>
  <si>
    <t>sh teenuse püsikulu, €/a</t>
  </si>
  <si>
    <r>
      <t xml:space="preserve">Puhastulu, </t>
    </r>
    <r>
      <rPr>
        <b/>
        <sz val="11"/>
        <color theme="1"/>
        <rFont val="Calibri"/>
        <family val="2"/>
      </rPr>
      <t>€/a</t>
    </r>
  </si>
  <si>
    <r>
      <t xml:space="preserve">Puhastulus vahemik, </t>
    </r>
    <r>
      <rPr>
        <b/>
        <sz val="11"/>
        <color theme="1"/>
        <rFont val="Calibri"/>
        <family val="2"/>
      </rPr>
      <t>€</t>
    </r>
  </si>
  <si>
    <t>Hinnang indikaatorile (0-5)</t>
  </si>
  <si>
    <t>Farby aste (1-8)</t>
  </si>
  <si>
    <t>Sotsaal-majanduslik hinnang kokku</t>
  </si>
  <si>
    <t>Top12</t>
  </si>
  <si>
    <t>Taimekaitse soovitused ja prognoos + Taimekahjustajate kaardistamine; Taimekahjustajate leviku info jagamine ja taimekahjustajate leviku prognoos</t>
  </si>
  <si>
    <t>NPK bilanss (integreeritav väetus- ja lupjamissoovitustega)</t>
  </si>
  <si>
    <t>Toetuse taotlejale esitatavate nõuete info jagamine; Toetuste taotluste automaatesitamise teenused</t>
  </si>
  <si>
    <t>Registri teenused: Väetiste registri teenused; Taimekaitsevahendite registri veebiteenused; Sordiregistri veebiteenused (olemas)</t>
  </si>
  <si>
    <t>FADN andmete visualiseerimise teenus (+standartnäitajate jagamine); Majandusliku suuruse ja tootmistüübi kalkulaator (FADN)</t>
  </si>
  <si>
    <t>Sordivõrdluskatsete andmete jagamine; Sordivaliku ja seemne kvaliteedi valiku soovitused</t>
  </si>
  <si>
    <t>Saagikuse prognoos ja kvaliteedi mudel</t>
  </si>
  <si>
    <t>min</t>
  </si>
  <si>
    <t>max</t>
  </si>
  <si>
    <t>Teenuse arenduskulu</t>
  </si>
  <si>
    <t>Sihtgrupi ja osapoolte andmed</t>
  </si>
  <si>
    <t>Tõhususe kasutegurid</t>
  </si>
  <si>
    <t>Andmekogu omanik</t>
  </si>
  <si>
    <t>Hange</t>
  </si>
  <si>
    <t>Mõjususe kasutegurite hindamine</t>
  </si>
  <si>
    <t>Jkr</t>
  </si>
  <si>
    <t>Osapool</t>
  </si>
  <si>
    <t>Osapoole täpsustus</t>
  </si>
  <si>
    <t>Tootjate osakaal, %</t>
  </si>
  <si>
    <t>Pindala osakaal, %</t>
  </si>
  <si>
    <t>Arv</t>
  </si>
  <si>
    <t>Pindala, ha</t>
  </si>
  <si>
    <t xml:space="preserve">Objekt </t>
  </si>
  <si>
    <t>Kasu ja tulu selgitus</t>
  </si>
  <si>
    <t>Kasu saagikahju vältimisest, t/ha</t>
  </si>
  <si>
    <r>
      <t xml:space="preserve">Tulu kahju vältimisest, </t>
    </r>
    <r>
      <rPr>
        <sz val="11"/>
        <color theme="1"/>
        <rFont val="Calibri"/>
        <family val="2"/>
      </rPr>
      <t>€</t>
    </r>
  </si>
  <si>
    <t>Kasu mineraal-väetise kokkuhoid, %</t>
  </si>
  <si>
    <r>
      <t xml:space="preserve">Tulu mineraal-väetise kokkuhoid, </t>
    </r>
    <r>
      <rPr>
        <sz val="11"/>
        <color theme="1"/>
        <rFont val="Calibri"/>
        <family val="2"/>
      </rPr>
      <t>€</t>
    </r>
  </si>
  <si>
    <r>
      <t xml:space="preserve">Kasu taimekaite-vahendite kokkuhoid, </t>
    </r>
    <r>
      <rPr>
        <sz val="11"/>
        <color theme="1"/>
        <rFont val="Calibri"/>
        <family val="2"/>
      </rPr>
      <t>%</t>
    </r>
  </si>
  <si>
    <r>
      <t xml:space="preserve">Kasu taimekaite-vahendite kokkuhoid, </t>
    </r>
    <r>
      <rPr>
        <sz val="11"/>
        <color theme="1"/>
        <rFont val="Calibri"/>
        <family val="2"/>
      </rPr>
      <t>€</t>
    </r>
  </si>
  <si>
    <t>Tulu keskkonna-hoid, valikuline ühik</t>
  </si>
  <si>
    <t>Tulu keskkonna-hoid, €</t>
  </si>
  <si>
    <r>
      <t>Tööaja vähenemine, h/10</t>
    </r>
    <r>
      <rPr>
        <vertAlign val="superscript"/>
        <sz val="10"/>
        <color theme="1"/>
        <rFont val="Calibri"/>
        <family val="2"/>
        <scheme val="minor"/>
      </rPr>
      <t xml:space="preserve">1 </t>
    </r>
    <r>
      <rPr>
        <sz val="11"/>
        <color theme="1"/>
        <rFont val="Calibri"/>
        <family val="2"/>
        <charset val="186"/>
        <scheme val="minor"/>
      </rPr>
      <t>ha</t>
    </r>
  </si>
  <si>
    <r>
      <t xml:space="preserve">Tööaja vähenemine, </t>
    </r>
    <r>
      <rPr>
        <sz val="11"/>
        <color theme="1"/>
        <rFont val="Calibri"/>
        <family val="2"/>
      </rPr>
      <t>€</t>
    </r>
  </si>
  <si>
    <t>Olemasoleva andmekogu arendus, h</t>
  </si>
  <si>
    <r>
      <t xml:space="preserve">Andmekogu arendus, </t>
    </r>
    <r>
      <rPr>
        <sz val="11"/>
        <color theme="1"/>
        <rFont val="Calibri"/>
        <family val="2"/>
      </rPr>
      <t>€</t>
    </r>
  </si>
  <si>
    <t>Liidese arendus, h</t>
  </si>
  <si>
    <t>Liidese arendus, €</t>
  </si>
  <si>
    <t>Andmehõive, töötlus ja avaldamine, h/a</t>
  </si>
  <si>
    <r>
      <t xml:space="preserve">Andmehõive, töötlus ja avaldamine, </t>
    </r>
    <r>
      <rPr>
        <sz val="11"/>
        <color theme="1"/>
        <rFont val="Calibri"/>
        <family val="2"/>
      </rPr>
      <t>€</t>
    </r>
  </si>
  <si>
    <t>Teenuse arendus, h</t>
  </si>
  <si>
    <r>
      <t xml:space="preserve">Teenuse arendus, </t>
    </r>
    <r>
      <rPr>
        <sz val="11"/>
        <rFont val="Calibri"/>
        <family val="2"/>
        <charset val="186"/>
      </rPr>
      <t>€</t>
    </r>
  </si>
  <si>
    <t>Teenuse püsikulu, h</t>
  </si>
  <si>
    <r>
      <t xml:space="preserve">Teenuse püsikulu, </t>
    </r>
    <r>
      <rPr>
        <sz val="11"/>
        <color theme="1"/>
        <rFont val="Calibri"/>
        <family val="2"/>
      </rPr>
      <t>€</t>
    </r>
  </si>
  <si>
    <t>Indikaator</t>
  </si>
  <si>
    <t>põld</t>
  </si>
  <si>
    <t>kahjustuse ennetamisest saagikuse suurenemine/kahju vältimine</t>
  </si>
  <si>
    <t>teavitus ja  soovitus on esitatud kaardil põllu täpsusega - kultuur, kahjur, soovitus</t>
  </si>
  <si>
    <t>täpisviljelus taimekaitses areneb</t>
  </si>
  <si>
    <t>Tootja</t>
  </si>
  <si>
    <t>Teraviljatootjad; Rapsi ja rüpsitootjad; Kartulikasvatajad</t>
  </si>
  <si>
    <t>kahjustuse ennetamisest saagikuse suurenemine/kahju vältimine; ajaline kokkuhoid</t>
  </si>
  <si>
    <t>taimekaitsetegevus põllul viiakse läbi soovituse kohaselt</t>
  </si>
  <si>
    <t>täpisviljelus areneb, saagikus suureneb, kokkuhoid sisendites, tööaja kokkuhoid</t>
  </si>
  <si>
    <t xml:space="preserve">Nõustamis-asutus </t>
  </si>
  <si>
    <t>MES; eranõustajad</t>
  </si>
  <si>
    <t>nõustamisega seotud tööaja vähenemine</t>
  </si>
  <si>
    <t>nõustamise kvaliteet suureneb</t>
  </si>
  <si>
    <t>Teadusasutus</t>
  </si>
  <si>
    <t xml:space="preserve">EMÜ; TÜ; ETKI; </t>
  </si>
  <si>
    <t>ülevaade taimekahjustajate levikust ja ennetavete mudelite loomine.</t>
  </si>
  <si>
    <t>analüüsivõimekus ja teadustulemused paranevad</t>
  </si>
  <si>
    <t>Finantsasutus</t>
  </si>
  <si>
    <t>MES; Swedbank; LHV; SEB; Luminor; Bigbank; Coop Pank; Hoiu-laenuühistud</t>
  </si>
  <si>
    <t>taime-kasvatuse tegevusala</t>
  </si>
  <si>
    <t>puudub</t>
  </si>
  <si>
    <t>paraneb tootmisriskide mõistmine, riskid vähenevad</t>
  </si>
  <si>
    <t>Riigiasutus</t>
  </si>
  <si>
    <t>MeM; PRIA; PMA</t>
  </si>
  <si>
    <t>keskkonnahoid suureneb</t>
  </si>
  <si>
    <t>täpisviljelus areneb, keskkonna-näitajad paranevad</t>
  </si>
  <si>
    <t>Sisendite pakkuja, 3-osapool</t>
  </si>
  <si>
    <t>Baltic Agro; Scandagra jt</t>
  </si>
  <si>
    <t>taimekaitse-vahendite pakkumine paraneb</t>
  </si>
  <si>
    <t>optimaalne bilanss, mis tagab saagikuse suurenemise; täpisviljeluse arendamine</t>
  </si>
  <si>
    <t>Huumusvaru, t/ha; Huumusbilanss, kg/ha/a; Huumusvaru muutus, %; Hinnang (madal, optimaalne, kõrge)</t>
  </si>
  <si>
    <t>täpisviljelus areneb</t>
  </si>
  <si>
    <t>optimaalne bilanss, mis tagab saagikuse suurenemise; väetamise optimeerimine; täpisviljeluse areng</t>
  </si>
  <si>
    <t>väetamine ja külvikord planeeritakse huumusseisundile; süsiniku akumulat-siooni maksi-meeritakse</t>
  </si>
  <si>
    <t>täpisviljelus areneb, saagikus suureneb, kokkuhoid sisendites</t>
  </si>
  <si>
    <t>nõustamise kvaliteedi suurenemine</t>
  </si>
  <si>
    <t>EMÜ; TÜ</t>
  </si>
  <si>
    <t>ülevaade huumusseisundist ja mulla kvaliteedist; mudelite loomisel ajakulu vähenemine</t>
  </si>
  <si>
    <t>valdkondlik andmekasutus ja analüüsi kvaliteet on paranenud</t>
  </si>
  <si>
    <t>MeM; PMK; PMA;</t>
  </si>
  <si>
    <t>süsiniku keskkonna-koormuse mini-meerimine</t>
  </si>
  <si>
    <t>täpisviljelus areneb, keskkonnakoormuse näitajad paranevad</t>
  </si>
  <si>
    <t>erasektor</t>
  </si>
  <si>
    <t>mullaharimistehnika soovitused huumusvaru suurendamiseks</t>
  </si>
  <si>
    <t>huumusseisund paraneb; süsiniku keskkonnakoormust minimeeritakse</t>
  </si>
  <si>
    <t>mullaharimistehnika pakkumine paraneb</t>
  </si>
  <si>
    <t>N, P ja K bilanss, kg/ha/a; Toiteelementide muutus, %; Hinnang (madal, optimaalne, kõrge)</t>
  </si>
  <si>
    <t>väetamine planeeritakse toiteelementide sisaldusele; toiteelementide kadu ja omastamist maksi-meeritakse</t>
  </si>
  <si>
    <t>EMÜ; TÜ; TTÜ</t>
  </si>
  <si>
    <t>ülevaade väetamise koormusest; mudelite loomisel ajakulu vähenemine</t>
  </si>
  <si>
    <t>lühiajaliste laenude kasutamine paraneb (väetis on olulise maksmusega sisend)</t>
  </si>
  <si>
    <t>keskkonnahoid suureneb; veekvaliteet paraneb</t>
  </si>
  <si>
    <t xml:space="preserve">toiteelementide keskkonnakoormuse minimeerimine. </t>
  </si>
  <si>
    <t>väetiste kasutamine ja pakkumine paraneb</t>
  </si>
  <si>
    <t>väetiste sishipärane pakkumine paraneb</t>
  </si>
  <si>
    <t>PMK; erasektor</t>
  </si>
  <si>
    <t>andmekvaliteedi paranemine, dubleerimise vältimine; teenuste arendamine; järelevalve ja läbipaistvuse suurenemine.</t>
  </si>
  <si>
    <t xml:space="preserve">maakasutusviis; taimeliik; materjalide liik - elementide loetelu; põllutöö liik- elementide loetelu jne. Info põllul tehtud tegevuste kohta. </t>
  </si>
  <si>
    <t>Info salvestamise kiirus ja täpsus suurenevad; järelevalve lihtsustub; analüüsivõimeksus suureneb; täpisviljelus areneb</t>
  </si>
  <si>
    <t>nõuetega seotud tegevuste ülevaadete andmine järelvalvele; eeltäidetud toetustaotlused; sisend analüütiliste teenuste kasutamiseks</t>
  </si>
  <si>
    <t>Min funktisonaalsuse põhjal Nn "digitaalse märkmiku kasutamine" . Andmeted on esitatud riigile (tegevused tõestatud); toetuste taotlemine ja andmete esitamine järelevalvele on lihtsustunud</t>
  </si>
  <si>
    <t>ülevaade põllumajandustegevustest; mudelite loomisel ajakulu vähenemine</t>
  </si>
  <si>
    <t>ülevaade tootja tegevustest, sisend rahavoogudesse (äriplaani)</t>
  </si>
  <si>
    <t>sisend finantsjuhtimisse on suurenenud</t>
  </si>
  <si>
    <t>MeM; PMK; PMA; SA</t>
  </si>
  <si>
    <t>keskkonnahoid suureneb; põllumajanduse jätkusuutlikkus suureneb; analüüsivõimeksus suureneb ja seadusloome täpsus paraneb; järelevalve lihtsustub</t>
  </si>
  <si>
    <t>analüüsivõimekuse suurenemine tagab asjakohasema seadsuloome (faktipõhisus); järelevelve on tõhus;  toetuste menetlemine on tõhus; riikliku statistika koostamine on tõhus; keskkonnanõuete järgmine on läbipaistev;</t>
  </si>
  <si>
    <t>võimalik luua uusi teenuseid</t>
  </si>
  <si>
    <t>aktiivne teenuste loomine ja täiendamine</t>
  </si>
  <si>
    <t>uute teenuste arendamine suureneb</t>
  </si>
  <si>
    <t>integreeritud taimekaitse ja optimaalse kultuurivaliku järgimine, mis tagab saagikuse suurenemise;</t>
  </si>
  <si>
    <t xml:space="preserve">külvikorraplaan - kultuuride rotatsioon arvestades tootja soovitud väljundit. </t>
  </si>
  <si>
    <t>planeerimise kiirus ja täpsus suurenevad; analüüsivõimekus suureneb; täpisviljelus areneb</t>
  </si>
  <si>
    <t>integreeritud taimekaitse ja optimaalse kultuurivaliku järgimine, mis tagab saagikuse suurenemise; täpisviljeluse arendamine</t>
  </si>
  <si>
    <t xml:space="preserve">kultuuride optimaalne rotatsioon; suurem saagikus, väetiste efektiivsem kasutamine. </t>
  </si>
  <si>
    <t>planeerimise kiirus suurneb, saagikus suureneb, kokkuhoid sisendites</t>
  </si>
  <si>
    <t>ajakokkuhoid külvikorraplaani täiendamisel (koostamisel)</t>
  </si>
  <si>
    <t>mudelite loomisel ajakulu vähenemine</t>
  </si>
  <si>
    <t>keskkonnahoid suureneb; sektori jätkusuutlikkus suureneb</t>
  </si>
  <si>
    <t>täpisviljelus areneb, keskkonna-koormuse näitajad paranevad</t>
  </si>
  <si>
    <t xml:space="preserve">ilmainfo andmete kättesaadavuse paranemine, dubleerimise vältimine; teenuste arendamine; </t>
  </si>
  <si>
    <t>täpne ilmainfo on tagatud; põllutööplaanid on täpsemad; täpisviljelusega seotud analüüsid on täpsemad (arvestatud on ilmainfot); keskkonnaseire on paranenud (arvestatud on ilmainfot).</t>
  </si>
  <si>
    <t>lihtsustunud ja oluliselt kiirem ilmaprognooside info; optimaalsem tööde planeerimine ja ajakasutus</t>
  </si>
  <si>
    <t>põllutööd on ajastatud; aja kokkuhoid</t>
  </si>
  <si>
    <t>planeerimise kiirus suurneb</t>
  </si>
  <si>
    <t>valdkondlik andmekasutus ja analüüsi kvaliteet on paranenud (ilmainfo kasutamine on lihtsustunud)</t>
  </si>
  <si>
    <t>paraneb tootmisriskide mõistmine</t>
  </si>
  <si>
    <t>teenuste arendamine ja täpsustamine</t>
  </si>
  <si>
    <t>nõuete info kättesaadavuse paranemine, dubleerimise vältimine; nõuete järgmine on lihtsam; toetuste taotlemine on kiire ja lihtne;</t>
  </si>
  <si>
    <t>täpne nõuete info on tagatud; toetuste taotlemine on kiire ja lihtne</t>
  </si>
  <si>
    <t>andmete kasutamine ja täpsus suurenevad; õigusvaidluste hulk väheneb;</t>
  </si>
  <si>
    <t>lihtsustub nõuete leidmine ja toetuse taotlemine. Suur ajaline kokkuhoid</t>
  </si>
  <si>
    <t>nõuete info on kergesti leitav; aja kokkuhoid</t>
  </si>
  <si>
    <t>nõuete kättesaadavus suureneb; õigusvaidluste hulk väheneb.</t>
  </si>
  <si>
    <t xml:space="preserve">PRIA; MeM; PMK; PMA; </t>
  </si>
  <si>
    <t>infojagamine areneb, keskkonna-koormuse näitajad paranevad</t>
  </si>
  <si>
    <t>väetiste, pestitsiidide ja sortide andmete kättesaadavuse paranemine, dubleerimise vältimine; kasutamine teistes süsteemides on läbiv;</t>
  </si>
  <si>
    <t xml:space="preserve">ühtne nimekiri on tagatud; klassifikaatori kasutamine on tagatud; </t>
  </si>
  <si>
    <t xml:space="preserve">andmete kasutamine ja täpsus suurenevad; </t>
  </si>
  <si>
    <t>andmete sisestamine on lihtne, ajakokkuhoid</t>
  </si>
  <si>
    <t>klassifikaatori kasutamine</t>
  </si>
  <si>
    <t xml:space="preserve">andmekvaliteet ja sisestamine lihtsustub; </t>
  </si>
  <si>
    <t>analüüsitulemuste selgus ja täpsus paraneb</t>
  </si>
  <si>
    <t>paraneb sisenditest arusaamine</t>
  </si>
  <si>
    <t>teenuste arendamine on kiirem</t>
  </si>
  <si>
    <t>klassifikaatorid hõlbustavad liidestamist</t>
  </si>
  <si>
    <t>majandustulemuste esitamine ja võrdlemine ühtseltel alustel; hinnangute andmine jätkusuutlikkusele ja tootmise efektiivsusele</t>
  </si>
  <si>
    <t>Indikaatormõõdikud: Tööjõud, maakasutus, loomad, toodang ja toetused, kulud, vara ja kohustused, investeeringud, finantsnäitajad</t>
  </si>
  <si>
    <t>andmete kasutamine ja analüüsivõimekus suureneb</t>
  </si>
  <si>
    <t>Kõik tegevusvaldkonnad</t>
  </si>
  <si>
    <t>andmete visuliseerimine, võrdlemine on lihtne, ajakokkuhoid</t>
  </si>
  <si>
    <t>mõõdikute kasutamine</t>
  </si>
  <si>
    <t>andmete kasutamine ja analüüsivõimekus suureneb; kasutajate rahulolu suureneb</t>
  </si>
  <si>
    <t>nõustamise kvaliteet suureneb; kasutajate rahulolu suureneb</t>
  </si>
  <si>
    <t>ülevaade tegevusalade ja põllumajandussektori majandustulemustest paraneb</t>
  </si>
  <si>
    <t xml:space="preserve">andmete kasutamine ja analüüsivõimekus suureneb; </t>
  </si>
  <si>
    <t>ülevaade tegevusaladest, põllumajandussektorist ning võrdlemine konkreetse tootja andmetega paraneb</t>
  </si>
  <si>
    <t>andmete kasutamine ja analüüsivõimekus suureneb; läbipaistvus suureneb</t>
  </si>
  <si>
    <t>PMK, ETKI</t>
  </si>
  <si>
    <t>viljelusväärtuse hindamine Eesti tingimustes; tulemuste tuvustamine tootjatele</t>
  </si>
  <si>
    <t xml:space="preserve">Kultuuri seemnete, mugulate, viljade saak , kg/ha; Haljasmassi saak, kg/ha; Kuivaine saak, kg/ha. Täiendavad mõõdikud: lamandumine, taime pikkus,1000 tera mass, mugula mass, mugulate arv pesas, sõklasus, mahumass, proteiin, rasv, tärklis, langemisarv
</t>
  </si>
  <si>
    <t>saagikuse suurenemine/sobivate valikute tegemine; ajaline kokkuhoid</t>
  </si>
  <si>
    <t>sordivalik on teadlik ja tugineb katsetel; kõrgema viljelusväärtusega saavutatakse suurem saak ja suurem lisandväärtus, ajaline kokkuhoid valikute tegemisel</t>
  </si>
  <si>
    <t>parem ülevaade sordivõrdlustest, aja kokkuhoid katsete analüüsimisel</t>
  </si>
  <si>
    <t>valdkondlik andmekasutus ja analüüsi kvaliteet on paranenud (sordivõrdluskatsete andmete kasutamine on lihtsustunud)</t>
  </si>
  <si>
    <t xml:space="preserve">täpne ülevaade erinevate sortide viljelusväärtusest Eesti tingimustes; täpne sortide kandmine sordilehte ning avalikustamine.  </t>
  </si>
  <si>
    <t>sordilehe kasutamine on hõlbus; sortide valiku tegemine on paranenud; ajaline kokkuhoid</t>
  </si>
  <si>
    <t>täpne ülevaade sordivõrdluses kasutatatud sisendites</t>
  </si>
  <si>
    <t>sisendite pakkumine on täpsustunud</t>
  </si>
  <si>
    <t>eeltöötlemise ja müügimahu prognoos; eeldatavad kvaliteedi parameetrid; hinnaprognoos</t>
  </si>
  <si>
    <t>andmete kasutamine ja täpsus suurenevad; analüüsivõimekus suureneb; läbipaistvus suureneb</t>
  </si>
  <si>
    <t>teadlikkus sektori tootmistulemustest suureneb; riikliku statistika ja prognooside tegemise võimekus suureneb; aja kokkuhoid</t>
  </si>
  <si>
    <t>teadlikkus kogutoodangust, hinnaprognoos; andmete esitamine SA-le väheneb.</t>
  </si>
  <si>
    <t>analüüsivõimekus suureneb; tootmisriskid vähenevad; täpisviljelus areneb</t>
  </si>
  <si>
    <t>teadlikkus kogutoodangust, hinnaprognoos</t>
  </si>
  <si>
    <t>teadlikkus kogutoodangust, hinnaprognoos; aja kokkuhoid</t>
  </si>
  <si>
    <t>analüüside täpsus ja kiirus suureneb; teadusprojektide hulk suureneb</t>
  </si>
  <si>
    <t>teadlikkus sektori tootmistulemustest suureneb</t>
  </si>
  <si>
    <t>MeM; PRIA; PMA, SA</t>
  </si>
  <si>
    <t>info jagamine paraneb</t>
  </si>
  <si>
    <t xml:space="preserve">maaparandussüsteemide toimimise hindamine kaugseire abil suurendab hindamise täpsust ja parandab rekonstrueerimisevajaduse hindamist; paraneb maakasutus </t>
  </si>
  <si>
    <t>täpne liigniiskete alade info on tagatud; rekonstrueerimist vajavate süsteemide pindala, ha</t>
  </si>
  <si>
    <t>andmete kasutamine ja täpsus suurenevad; analüüsivõimeksus suureneb; läbipaistvus suureneb</t>
  </si>
  <si>
    <t>Teraviljatootjad; Rapsi ja rüpsitootjad; Kartulikasvatajad, Rohumaaviljelejad</t>
  </si>
  <si>
    <t>lihtsustub liigniiskete alade tõendamine; suureneb kultuurivaliku täpsus; ajaline kokkuhoid</t>
  </si>
  <si>
    <t>liigniiske ala pindala, ha; ala asukoht (koordinaadid); lihtsustaud toetuse taotlemine</t>
  </si>
  <si>
    <t>analüüsivõimeksus suureneb; tootmisriskid vähenevad; täpisviljelus areneb</t>
  </si>
  <si>
    <t xml:space="preserve">EMÜ; TÜ; TTÜ; </t>
  </si>
  <si>
    <t xml:space="preserve">maaparandussüsteemide toimimise hindamine kaugseire abil suurendab hindamise täpsust ja parandab rekonstrueerimisvajaduse hindamist; paraneb maakasutus </t>
  </si>
  <si>
    <t>valdkondlik andmekasutus ja analüüsi kvaliteet on paranenud (veemajandus)</t>
  </si>
  <si>
    <t>info jagamine paraneb; keskkonnanäitajad paranevad</t>
  </si>
  <si>
    <t>Sihtgrupp 1</t>
  </si>
  <si>
    <t>Sihtgrupp 2</t>
  </si>
  <si>
    <t>Sihtgrupp 3</t>
  </si>
  <si>
    <t xml:space="preserve">Näiteks: </t>
  </si>
  <si>
    <t>Põllumajandustootja</t>
  </si>
  <si>
    <t>Erinevad 3-ndad osapooled</t>
  </si>
  <si>
    <t>Eraisikud</t>
  </si>
  <si>
    <t>Riik (MKM)</t>
  </si>
  <si>
    <t>•Tellija andmekogu andmeanalüüs ja liitumisvõimekuse hindamine</t>
  </si>
  <si>
    <t>Uuringufirma</t>
  </si>
  <si>
    <t>Välisteadusasutused</t>
  </si>
  <si>
    <t>Uute teenuste loojad</t>
  </si>
  <si>
    <t>Teadusasutused</t>
  </si>
  <si>
    <t>•Andmekvaliteedi analüüs</t>
  </si>
  <si>
    <t>Täiendavad parameetrid</t>
  </si>
  <si>
    <t>kesk</t>
  </si>
  <si>
    <t>Ühik</t>
  </si>
  <si>
    <t>SA PM0281; PMS108; PRIA 2018</t>
  </si>
  <si>
    <t>Tootjate arv</t>
  </si>
  <si>
    <t>Kasvupind, ha</t>
  </si>
  <si>
    <t>Suurandmebaasiga hõlmatud, %</t>
  </si>
  <si>
    <t>Saagikus, t/ha (2014-2018; SA PM20)</t>
  </si>
  <si>
    <r>
      <t xml:space="preserve">Keskmine kokkuostuhind, </t>
    </r>
    <r>
      <rPr>
        <b/>
        <sz val="10"/>
        <color theme="1"/>
        <rFont val="Calibri"/>
        <family val="2"/>
      </rPr>
      <t>€/t</t>
    </r>
  </si>
  <si>
    <r>
      <t xml:space="preserve">Tulu saagist, </t>
    </r>
    <r>
      <rPr>
        <b/>
        <sz val="10"/>
        <color theme="1"/>
        <rFont val="Calibri"/>
        <family val="2"/>
      </rPr>
      <t>€</t>
    </r>
  </si>
  <si>
    <t>Keskmine põllu suurus, ha</t>
  </si>
  <si>
    <t>Puhastulu vahemikud</t>
  </si>
  <si>
    <t>Täiendavad punktid</t>
  </si>
  <si>
    <t>Mineraalväetiste kasutamine (SA, PM065, 2014-2017)</t>
  </si>
  <si>
    <t>Väetis kokku, tonni</t>
  </si>
  <si>
    <t>Lämmastik (N), tonni</t>
  </si>
  <si>
    <t>Fosfor (P2O5), tonni</t>
  </si>
  <si>
    <t>Kaalium (K2O), tonni</t>
  </si>
  <si>
    <t>Väetatud pind, hektarit</t>
  </si>
  <si>
    <t>..väetatud põllumaa, hektarit</t>
  </si>
  <si>
    <t>..väetatud püsirohumaa, hektarit</t>
  </si>
  <si>
    <t>..väetatud muu kasutatav põllumajandusmaa, hektarit</t>
  </si>
  <si>
    <t>Väetise kogus väetatud pinna hektari kohta, kilogrammi</t>
  </si>
  <si>
    <t>Tööjõukulu tunnis (SA, PA001, 2018)</t>
  </si>
  <si>
    <t>Teravili</t>
  </si>
  <si>
    <t>&lt;1,0 mln</t>
  </si>
  <si>
    <t>Põllumajandus-kultuurid kokku</t>
  </si>
  <si>
    <t xml:space="preserve">Taime- ja loomakasvatuses  </t>
  </si>
  <si>
    <t>€/h</t>
  </si>
  <si>
    <t>Nisu</t>
  </si>
  <si>
    <t>1,0-4,9 mln</t>
  </si>
  <si>
    <t>Alates 2015. a kultuurigruppide lõikes statistika puudub. Osakaalud on 2014. aasta alusel, mida on võimalik kasutada</t>
  </si>
  <si>
    <t>Hulgi- ja jaekaubandus; mootorsõidukite ja mootorrataste remon</t>
  </si>
  <si>
    <t>Rukis</t>
  </si>
  <si>
    <t>5,0-9,9 mln</t>
  </si>
  <si>
    <t>Tera- ja kaunvili</t>
  </si>
  <si>
    <t>Finants ja kindlustustegevus</t>
  </si>
  <si>
    <t>Oder</t>
  </si>
  <si>
    <t>10,0-14,9 mln</t>
  </si>
  <si>
    <t>Tehnilised kultuurid</t>
  </si>
  <si>
    <t>Kutse-, teadus- ja tehnikaalane tegevus</t>
  </si>
  <si>
    <t>Kaer</t>
  </si>
  <si>
    <t>15,0-19,9 mln</t>
  </si>
  <si>
    <t>Avamaaköögivili</t>
  </si>
  <si>
    <t>Avalik haldus ja riigikaitse; kohustuslik sotsiaalkindlustus</t>
  </si>
  <si>
    <t>Tritik</t>
  </si>
  <si>
    <t>&gt;20,0 mln</t>
  </si>
  <si>
    <t>Kartul</t>
  </si>
  <si>
    <t>Tatar</t>
  </si>
  <si>
    <t>Söödakultuurid</t>
  </si>
  <si>
    <t>Arenduskulu (IT)</t>
  </si>
  <si>
    <t>Kaunvili</t>
  </si>
  <si>
    <t>Viljapuu- ja marjaaiad</t>
  </si>
  <si>
    <t>Põldhernes</t>
  </si>
  <si>
    <t>Katmikala</t>
  </si>
  <si>
    <t>Amortiseerumise aeg</t>
  </si>
  <si>
    <t>Põlduba</t>
  </si>
  <si>
    <t>Arenduse kasulik iga</t>
  </si>
  <si>
    <t>aastat</t>
  </si>
  <si>
    <t>Rühvelkultuur</t>
  </si>
  <si>
    <t>Toodangu kokkuostuhind (EKI, 2016-2019 kv alusel)</t>
  </si>
  <si>
    <t>Söödajuurvili</t>
  </si>
  <si>
    <t>€/t</t>
  </si>
  <si>
    <t>Raps ja rüps</t>
  </si>
  <si>
    <t>Õlilina</t>
  </si>
  <si>
    <t>Kanep</t>
  </si>
  <si>
    <t>Mais</t>
  </si>
  <si>
    <t>Rohumaa</t>
  </si>
  <si>
    <t>Püsirohumaa</t>
  </si>
  <si>
    <t>Püsirohumaa sööda tootmiseks</t>
  </si>
  <si>
    <t>Hooldatav püsirohumaa</t>
  </si>
  <si>
    <t>Lühiajaline rohumaa</t>
  </si>
  <si>
    <t>Arvestuslik saak hektarilt</t>
  </si>
  <si>
    <t>Sisendite maksumus (PMK, kattetulu arvutused 2018)</t>
  </si>
  <si>
    <t>6,0 t/ha</t>
  </si>
  <si>
    <t>4.5 t/ha</t>
  </si>
  <si>
    <t>3,0 t/ha</t>
  </si>
  <si>
    <t>Kulu kasvupinnale, €</t>
  </si>
  <si>
    <t>Lihtväetis (N)</t>
  </si>
  <si>
    <t>€/ha</t>
  </si>
  <si>
    <t>Lämmastik (N)</t>
  </si>
  <si>
    <t>Fosfor (P)</t>
  </si>
  <si>
    <t>Kaalium (K)</t>
  </si>
  <si>
    <t>Herbitsiidid</t>
  </si>
  <si>
    <t>Fungitsiidid</t>
  </si>
  <si>
    <t>Insektitsiidid</t>
  </si>
  <si>
    <t>Retardandid</t>
  </si>
  <si>
    <t>Andmekogu, andmeallikas</t>
  </si>
  <si>
    <t>Haldus- ja arenduskulud (koos KM)</t>
  </si>
  <si>
    <t>2020_Q2</t>
  </si>
  <si>
    <t>2020_Q3</t>
  </si>
  <si>
    <t>2020_Q4</t>
  </si>
  <si>
    <t>2020_Kokku</t>
  </si>
  <si>
    <t>2021_Q1</t>
  </si>
  <si>
    <t>2021_Q2</t>
  </si>
  <si>
    <t>2021_Q3</t>
  </si>
  <si>
    <t>2021_Kokku</t>
  </si>
  <si>
    <t>1.1</t>
  </si>
  <si>
    <t>1.2</t>
  </si>
  <si>
    <t>Hangete korraldamine</t>
  </si>
  <si>
    <t>1.3</t>
  </si>
  <si>
    <t>Õigusloome vastavalt teekaardile</t>
  </si>
  <si>
    <t>Teenuste arendus</t>
  </si>
  <si>
    <t>Töövahendid (arvutid, Power BI, EA, Visual Studio, SSIS, SSMS) 5 kasutajat 1 aasta</t>
  </si>
  <si>
    <t>2</t>
  </si>
  <si>
    <t>Suurandmete süsteem (valitud arhitektuurivariant nr 1)</t>
  </si>
  <si>
    <t>Andmehõive ja töötluse süsteem</t>
  </si>
  <si>
    <t>Paraleelprotsesside jooksutamise keskkond</t>
  </si>
  <si>
    <t>Analüütika keskkond</t>
  </si>
  <si>
    <t>Teenuste ja veebi  keskkond</t>
  </si>
  <si>
    <t>Suurandmete süsteemi haldamise keskkond</t>
  </si>
  <si>
    <t>3</t>
  </si>
  <si>
    <t>Teenused (4 valitud teenust)</t>
  </si>
  <si>
    <t>1. Taimekaitse soovitused ja prognoos + Taimekahjustajate kaardistamine; Taimekahjustajate leviku info jagamine ja taimekahjustajate leviku prognoos</t>
  </si>
  <si>
    <t>ETKI taimekahjustajate leviku andmekogu; Maa-ameti aluskaartide andmekogu</t>
  </si>
  <si>
    <t>2. Huumusbilanss</t>
  </si>
  <si>
    <t>3. NPK bilanss (integreeritav väetus- ja lupjamissoovitustega)</t>
  </si>
  <si>
    <t>3.4</t>
  </si>
  <si>
    <t>4. Integreeritud agrometeoroloogia andmete jagamise teenus (olemas +)</t>
  </si>
  <si>
    <t xml:space="preserve">ETAK aluskaardid; ETKI mullaniiskuse näitajad; Riigi Ilmateenistuse temp., sademed, tuul, õhuniiskus, lumikate, külmumissügavus näitajad. </t>
  </si>
  <si>
    <t>4.</t>
  </si>
  <si>
    <t>ETAK aluskaardid, katastriinfo; PMK mullakaart; PMA maaparandussüsteemide register; Sordiregister, väetiseregister, taimekaitsevahendite register</t>
  </si>
  <si>
    <t>Arendustegevus</t>
  </si>
  <si>
    <t>Väetiseregister, Sordiregister, Taimekaitsevahendite register, PMAIS klassifikaatorid.</t>
  </si>
  <si>
    <t xml:space="preserve">Teadusasutuste (EMÜ, ETKI, PMK) osutatavad arenduse tugiteenused ePõlluraamatu loomisel </t>
  </si>
  <si>
    <t>Eelarve</t>
  </si>
  <si>
    <t>Lisarahastusvajadus</t>
  </si>
  <si>
    <t>Potentsiaalne lisarahastus</t>
  </si>
  <si>
    <t>FaST</t>
  </si>
  <si>
    <t>Eeldus: E põlluraamatu ja teenuste kontekstis</t>
  </si>
  <si>
    <t>Niva</t>
  </si>
  <si>
    <t>KeM</t>
  </si>
  <si>
    <t>MKM rahastus</t>
  </si>
  <si>
    <t>Eeldus: eksisteerib struktuurfondide lisarahastusvõimalus ( ~500 000 per pakett)</t>
  </si>
  <si>
    <t>BALANSS juhul kui leitakse lisarahastust märgitud summas</t>
  </si>
  <si>
    <t>Arenduskulud koos KM (eeldusel, et Suurandmete süsteem luuakse)</t>
  </si>
  <si>
    <t xml:space="preserve">5. </t>
  </si>
  <si>
    <t>Teised teenused</t>
  </si>
  <si>
    <t>Registri teenused: Väetiste registri teenused; Taimekaitsevahendite registri veebiteenused; Sordiregistri veebiteenused</t>
  </si>
  <si>
    <t>PMA statistikud - väetised, taimekaitsevahendid, sordid</t>
  </si>
  <si>
    <t>PMK FADN mõõdikud</t>
  </si>
  <si>
    <t>5.5</t>
  </si>
  <si>
    <t>5.6</t>
  </si>
  <si>
    <t>5.7</t>
  </si>
  <si>
    <t>ESTHub indeksmõõdikud</t>
  </si>
  <si>
    <t>Näide / kirjeldus</t>
  </si>
  <si>
    <t>Teenus hindab siis sarnaselt projekti esimeses etapis käsitletud andmekogu analüüsile andmete sisulist kvaliteeti, toob esile ebastandardsuse probleemid, kõrvalekalded, riskid  ja otsesed vead.</t>
  </si>
  <si>
    <t>Teenus hindab siis sarnaselt projekti esimeses etapis käsitletud andmekogu analüüsile andmete sisulist kvaliteeti, hindab võimalikke andmekogu muudatusvajadusi, et liitumine suurandmete süsteemiga oleks võimalik. Samuti võib see olla element, et järgmiste arenduste tehniline ülesanne oleks juba vastavalt tuleviku liitumisvõimalustega.</t>
  </si>
  <si>
    <t>Mugavusteenus eelkõige neile, kes igapäevaselt suurandmete süsteemi võimalustega kokku ei puutu kuid neil on vajadus omada suurandemete taustinfot enda teenuste pakkumiseks, miks mitte ka uute teenuste loomiseks.</t>
  </si>
  <si>
    <t>Kindlasti on võimalus luua kaardikihte nii kaugseire, mullastiku kui niiskustemaatikas, mis võiks olla huvitav põllumajandustarkvarade tootjatele täiendavaks sisendiks täppisviljeluse rakendamisel. Näites Cropio on rakendanud täppisviljeluse osana volitatult nii konkreetse põllu mullaproovi kui NDVI indeksi mis juba annab majanduslikku kasu selle rakendaisel ja masintööga ühildamisel aga näiteks mullastiku kaardi rakendamine üle-eestiliselt lisaks suure hulga võrdlusbaasi ning suure hulga kasutajamugavust neile kes selleks täna volitusi annavad.</t>
  </si>
  <si>
    <t>Selline teenusvajadus võib  tekkida väga paljudel osapooltel nii olemasoleva olukorra mõistmiseks, uute ärivõimalute loomisel eelanalüüsi raames kui olemasolevate ärivõimaluste parendamiseks.</t>
  </si>
  <si>
    <t xml:space="preserve">Analoogia on olemas mitmetes valdkondades (näitek meditsiin)  kus näiteks väliskorporatsioonid vajavad oma toodete arenduses teaduspoole tuge nii katseete, analüüsi kui rakendusmudelite valideerimisel. </t>
  </si>
  <si>
    <t>See teenus on pigem selline, mida ei kata suurandmete süsteemi standardvalikud teenusena kuid millised andmed on suurandmete süsteemis siiski oelmas ja on eritellimusel väljavõtetena loodavad.</t>
  </si>
  <si>
    <t xml:space="preserve">See teenus on pigem spetsiifiline valim kindla ülesande lahendamiseks ja mida ei kata suurandmete süsteemi standardvalikud teenusena </t>
  </si>
  <si>
    <t xml:space="preserve">Näiteks ligipääsude, teadus ja raudvara osapoolte (kus liiguvad füüsilised andmed) kokkuviimine arendajatega juhul kui valideeritakse suuremahulisi kaugseire mudeleid ning soovitakse leida raudvaral põhinevat võrdlusbaasi. Näiteks muulastiku radarseire info valideerimine mullaandurite võrgustikega kindlatel maaaladel. </t>
  </si>
  <si>
    <r>
      <t>•</t>
    </r>
    <r>
      <rPr>
        <sz val="20"/>
        <color rgb="FF000000"/>
        <rFont val="Calibri"/>
        <family val="2"/>
        <charset val="186"/>
        <scheme val="minor"/>
      </rPr>
      <t>Võimalik oleks reguleerida turu arengu ja parema toimimise eesmärgil suurandmete süsteemist tulenevate tasuliste teenuste pakkumine vastavalt valdkonna eest vastutava ministri määrusega kehtestatud korrale ja hinnakirjale</t>
    </r>
  </si>
  <si>
    <t>Tootjate arv grupis (duplikaatideta)</t>
  </si>
  <si>
    <t>Eeldus: Teadmuspuutumus olemas, vastastikku kasutada saab kogemust, rahaline mõju teadmata</t>
  </si>
  <si>
    <t>Maa-ameti aluskaardid, PMK mullakaart, Mulla laborianalüüside näitajad, Orgaanilise väetise näitajad; ePõlluraamat, väetisteregister</t>
  </si>
  <si>
    <t>Maa-ameti mullastiku kaart, PMK mullakaart, ETAK aluskaart, Mulla laborianalüüside näitajad, Orgaanilise väetise näitajad;  ePõlluraamat</t>
  </si>
  <si>
    <t>Suurandmete haldamise organisatioon ja administreerimine</t>
  </si>
  <si>
    <t>Nõuete püstitamine</t>
  </si>
  <si>
    <t>Pilveserverite rent üheks aastaks</t>
  </si>
  <si>
    <t>ePõlluraamat</t>
  </si>
  <si>
    <t>Eeldus: nt 50% arendusmahust kuna ePõlluraamat baseerub eelkõige veeseaduses tulenevate nõuete realiseerimisele, % võib varieeruda vastavalt saavutatud kokkulepetele</t>
  </si>
  <si>
    <t xml:space="preserve">Maa-ameti aluskaardid; PMK mullakaart; Teenused: ePõlluraamat, huumusbilansi kalk., agromet., sordivõrdlus, registriteenus, agrotehnol. soovit. </t>
  </si>
  <si>
    <t>PRIA nõuete statistikud; Maa-ameti aluskaardid, veekaitsevööndid; Keskkonnaregister; PMA maaparandusüsteemide register; e-PRIA; Teenused: ePõlluraamat; registri teenused (väetised, sordid, taimekaitsevahendid)</t>
  </si>
  <si>
    <t>ETKI sordivõrdluskatsete mõõdikud; Teenus: ePõlluraamat</t>
  </si>
  <si>
    <t>Maa-ameti aluskaardid; PMK mullakaart; Teenused: ePõlluraamat, NDVI indeks, agromet.</t>
  </si>
  <si>
    <t>* Mullaproovide tellimine ja väetussoovituste andmine</t>
  </si>
  <si>
    <t>Põllumajandustootjad tellivad oma põldude kohta mullaproovid, mis on neile tasulised ja mille alusel antakse PMK poolt tagasi väetussoovitused, sh vormis mida saab kasutada täppisviljelust toetavates väetisekülvikutes. Paremate soovituste andmisel on oluline ePõlluraamatu olemasolu, mille andmete põhjal (kasvatatavad kultuurid, külvikord) anda paremaid soovitusi.</t>
  </si>
  <si>
    <t>* Külvikorra planeerija</t>
  </si>
  <si>
    <t>Põllumajandustarkvarade tootjad</t>
  </si>
  <si>
    <t>Poliitikakujundajad</t>
  </si>
  <si>
    <r>
      <t>•</t>
    </r>
    <r>
      <rPr>
        <b/>
        <sz val="10"/>
        <color rgb="FF000000"/>
        <rFont val="Calibri"/>
        <family val="2"/>
        <charset val="186"/>
        <scheme val="minor"/>
      </rPr>
      <t>Andmete analüüs ja visualiseerimine</t>
    </r>
  </si>
  <si>
    <r>
      <t>•</t>
    </r>
    <r>
      <rPr>
        <b/>
        <sz val="10"/>
        <color rgb="FF000000"/>
        <rFont val="Calibri"/>
        <family val="2"/>
        <charset val="186"/>
        <scheme val="minor"/>
      </rPr>
      <t>Liidestatud andmekogude andmetest väljavõtete tegemine</t>
    </r>
  </si>
  <si>
    <r>
      <t>•</t>
    </r>
    <r>
      <rPr>
        <b/>
        <sz val="10"/>
        <color rgb="FF000000"/>
        <rFont val="Calibri"/>
        <family val="2"/>
        <charset val="186"/>
        <scheme val="minor"/>
      </rPr>
      <t>Tasulised täppisviljeluse sisendite valikteenused</t>
    </r>
  </si>
  <si>
    <r>
      <t>•</t>
    </r>
    <r>
      <rPr>
        <b/>
        <sz val="10"/>
        <color rgb="FF000000"/>
        <rFont val="Calibri"/>
        <family val="2"/>
        <charset val="186"/>
        <scheme val="minor"/>
      </rPr>
      <t>Teadusanalüüside koostamine (siseriiklik + eksport)</t>
    </r>
  </si>
  <si>
    <r>
      <t>•</t>
    </r>
    <r>
      <rPr>
        <b/>
        <sz val="10"/>
        <color rgb="FF000000"/>
        <rFont val="Calibri"/>
        <family val="2"/>
        <charset val="186"/>
        <scheme val="minor"/>
      </rPr>
      <t>Andmete valiku- komplekspäringute teenused</t>
    </r>
  </si>
  <si>
    <r>
      <t>•</t>
    </r>
    <r>
      <rPr>
        <b/>
        <sz val="10"/>
        <color rgb="FF000000"/>
        <rFont val="Calibri"/>
        <family val="2"/>
        <charset val="186"/>
        <scheme val="minor"/>
      </rPr>
      <t>Valitud spetsiifilise statistika koostamine ja analüüs suurandmete süsteemist</t>
    </r>
  </si>
  <si>
    <r>
      <t>•</t>
    </r>
    <r>
      <rPr>
        <b/>
        <sz val="10"/>
        <color rgb="FF000000"/>
        <rFont val="Calibri"/>
        <family val="2"/>
        <charset val="186"/>
        <scheme val="minor"/>
      </rPr>
      <t>Tellija andmetele soovitud valideerimisbaasi koostamine</t>
    </r>
  </si>
  <si>
    <t>Väetise- ja taimekaitsevahendite müüjad</t>
  </si>
  <si>
    <t>Abivahend külvikorra planeerimiseks, mis võtab arvesse administratiivseid (PRIA, PMA) nõudeid ja agronoomilised soovitused. Eelduseks on ePõlluraamatu olemasolu.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</si>
</sst>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0.0%"/>
    <numFmt numFmtId="168" formatCode="#,##0\ [$€-425]"/>
  </numFmts>
  <fonts count="85" x14ac:knownFonts="1">
    <font>
      <sz val="11"/>
      <color theme="1"/>
      <name val="Calibri"/>
      <family val="2"/>
      <charset val="186"/>
      <scheme val="minor"/>
    </font>
    <font>
      <b/>
      <sz val="11"/>
      <color theme="1"/>
      <name val="Calibri"/>
      <family val="2"/>
      <charset val="186"/>
      <scheme val="minor"/>
    </font>
    <font>
      <sz val="11"/>
      <color rgb="FF172B4D"/>
      <name val="Segoe UI"/>
      <family val="2"/>
      <charset val="186"/>
    </font>
    <font>
      <sz val="11"/>
      <color rgb="FF000000"/>
      <name val="Segoe UI"/>
      <family val="2"/>
      <charset val="186"/>
    </font>
    <font>
      <b/>
      <sz val="11"/>
      <color rgb="FF000000"/>
      <name val="Segoe UI"/>
      <family val="2"/>
      <charset val="186"/>
    </font>
    <font>
      <i/>
      <sz val="11"/>
      <color rgb="FF172B4D"/>
      <name val="Segoe UI"/>
      <family val="2"/>
      <charset val="186"/>
    </font>
    <font>
      <b/>
      <i/>
      <sz val="11"/>
      <color rgb="FF172B4D"/>
      <name val="Segoe UI"/>
      <family val="2"/>
      <charset val="186"/>
    </font>
    <font>
      <b/>
      <sz val="11"/>
      <color rgb="FF172B4D"/>
      <name val="Segoe UI"/>
      <family val="2"/>
      <charset val="186"/>
    </font>
    <font>
      <sz val="11"/>
      <color rgb="FF1F497D"/>
      <name val="Segoe UI"/>
      <family val="2"/>
      <charset val="186"/>
    </font>
    <font>
      <u/>
      <sz val="11"/>
      <color theme="10"/>
      <name val="Calibri"/>
      <family val="2"/>
      <charset val="186"/>
      <scheme val="minor"/>
    </font>
    <font>
      <b/>
      <sz val="14"/>
      <color theme="1"/>
      <name val="Calibri"/>
      <family val="2"/>
      <charset val="186"/>
      <scheme val="minor"/>
    </font>
    <font>
      <sz val="11"/>
      <color theme="1"/>
      <name val="Calibri"/>
      <family val="2"/>
      <charset val="186"/>
      <scheme val="minor"/>
    </font>
    <font>
      <sz val="14"/>
      <color theme="1"/>
      <name val="Segoe UI"/>
      <family val="2"/>
      <charset val="186"/>
    </font>
    <font>
      <b/>
      <sz val="14"/>
      <color theme="1"/>
      <name val="Segoe UI"/>
      <family val="2"/>
      <charset val="186"/>
    </font>
    <font>
      <sz val="9"/>
      <color indexed="81"/>
      <name val="Tahoma"/>
      <family val="2"/>
    </font>
    <font>
      <b/>
      <sz val="9"/>
      <color indexed="81"/>
      <name val="Tahoma"/>
      <family val="2"/>
    </font>
    <font>
      <b/>
      <sz val="14"/>
      <color rgb="FFFF0000"/>
      <name val="Segoe UI"/>
      <family val="2"/>
      <charset val="186"/>
    </font>
    <font>
      <b/>
      <sz val="18"/>
      <color theme="1"/>
      <name val="Calibri"/>
      <family val="2"/>
      <charset val="186"/>
      <scheme val="minor"/>
    </font>
    <font>
      <b/>
      <sz val="11"/>
      <color rgb="FF172B4D"/>
      <name val="Segoe UI"/>
      <family val="2"/>
    </font>
    <font>
      <sz val="11"/>
      <color rgb="FF172B4D"/>
      <name val="Segoe UI"/>
      <family val="2"/>
    </font>
    <font>
      <b/>
      <sz val="10"/>
      <name val="Calibri"/>
      <family val="2"/>
      <scheme val="minor"/>
    </font>
    <font>
      <sz val="10"/>
      <name val="Calibri"/>
      <family val="2"/>
      <scheme val="minor"/>
    </font>
    <font>
      <sz val="11"/>
      <name val="Calibri"/>
      <family val="2"/>
      <scheme val="minor"/>
    </font>
    <font>
      <sz val="10"/>
      <name val="Segoe UI"/>
      <family val="2"/>
      <charset val="186"/>
    </font>
    <font>
      <i/>
      <sz val="10"/>
      <name val="Calibri"/>
      <family val="2"/>
      <scheme val="minor"/>
    </font>
    <font>
      <b/>
      <i/>
      <sz val="10"/>
      <name val="Calibri"/>
      <family val="2"/>
      <scheme val="minor"/>
    </font>
    <font>
      <sz val="10"/>
      <name val="Calibri"/>
      <family val="2"/>
      <charset val="186"/>
      <scheme val="minor"/>
    </font>
    <font>
      <sz val="8"/>
      <color theme="1"/>
      <name val="Calibri"/>
      <family val="2"/>
      <charset val="186"/>
      <scheme val="minor"/>
    </font>
    <font>
      <sz val="9"/>
      <color theme="1"/>
      <name val="Calibri"/>
      <family val="2"/>
      <charset val="186"/>
      <scheme val="minor"/>
    </font>
    <font>
      <sz val="10"/>
      <color theme="1"/>
      <name val="Calibri"/>
      <family val="2"/>
      <charset val="186"/>
      <scheme val="minor"/>
    </font>
    <font>
      <b/>
      <sz val="10"/>
      <color theme="1"/>
      <name val="Calibri"/>
      <family val="2"/>
      <charset val="186"/>
      <scheme val="minor"/>
    </font>
    <font>
      <sz val="8"/>
      <color theme="1"/>
      <name val="Calibri"/>
      <family val="2"/>
      <scheme val="minor"/>
    </font>
    <font>
      <b/>
      <sz val="10"/>
      <color theme="1"/>
      <name val="Calibri"/>
      <family val="2"/>
      <scheme val="minor"/>
    </font>
    <font>
      <sz val="10"/>
      <color theme="1"/>
      <name val="Calibri"/>
      <family val="2"/>
      <scheme val="minor"/>
    </font>
    <font>
      <b/>
      <sz val="14"/>
      <color rgb="FFFF0000"/>
      <name val="Calibri"/>
      <family val="2"/>
      <charset val="186"/>
      <scheme val="minor"/>
    </font>
    <font>
      <sz val="11"/>
      <color rgb="FFFF0000"/>
      <name val="Calibri"/>
      <family val="2"/>
      <charset val="186"/>
      <scheme val="minor"/>
    </font>
    <font>
      <b/>
      <sz val="11"/>
      <color rgb="FF0070C0"/>
      <name val="Calibri"/>
      <family val="2"/>
      <scheme val="minor"/>
    </font>
    <font>
      <sz val="11"/>
      <name val="Calibri"/>
      <family val="2"/>
      <charset val="186"/>
      <scheme val="minor"/>
    </font>
    <font>
      <sz val="10"/>
      <color theme="4"/>
      <name val="Segoe UI"/>
      <family val="2"/>
    </font>
    <font>
      <sz val="11"/>
      <color theme="4"/>
      <name val="Calibri"/>
      <family val="2"/>
      <charset val="186"/>
      <scheme val="minor"/>
    </font>
    <font>
      <b/>
      <sz val="11"/>
      <color rgb="FFFF0000"/>
      <name val="Calibri"/>
      <family val="2"/>
      <scheme val="minor"/>
    </font>
    <font>
      <b/>
      <sz val="11"/>
      <color theme="1"/>
      <name val="Calibri"/>
      <family val="2"/>
      <scheme val="minor"/>
    </font>
    <font>
      <sz val="11"/>
      <color theme="1"/>
      <name val="Calibri"/>
      <family val="2"/>
    </font>
    <font>
      <b/>
      <sz val="9"/>
      <color theme="1"/>
      <name val="Calibri"/>
      <family val="2"/>
      <scheme val="minor"/>
    </font>
    <font>
      <sz val="9"/>
      <color rgb="FF000000"/>
      <name val="Calibri"/>
      <family val="2"/>
      <scheme val="minor"/>
    </font>
    <font>
      <sz val="9"/>
      <color theme="1"/>
      <name val="Calibri"/>
      <family val="2"/>
      <scheme val="minor"/>
    </font>
    <font>
      <sz val="10"/>
      <color theme="1"/>
      <name val="Calibri"/>
      <family val="2"/>
    </font>
    <font>
      <b/>
      <sz val="9"/>
      <color theme="1"/>
      <name val="Calibri"/>
      <family val="2"/>
      <charset val="186"/>
      <scheme val="minor"/>
    </font>
    <font>
      <sz val="9"/>
      <name val="Calibri"/>
      <family val="2"/>
      <scheme val="minor"/>
    </font>
    <font>
      <sz val="10"/>
      <color rgb="FF0070C0"/>
      <name val="Calibri"/>
      <family val="2"/>
      <charset val="186"/>
      <scheme val="minor"/>
    </font>
    <font>
      <sz val="11"/>
      <color rgb="FF333399"/>
      <name val="Calibri"/>
      <family val="2"/>
      <scheme val="minor"/>
    </font>
    <font>
      <sz val="12"/>
      <name val="Calibri"/>
      <family val="2"/>
      <scheme val="minor"/>
    </font>
    <font>
      <sz val="11"/>
      <color rgb="FF808000"/>
      <name val="Calibri"/>
      <family val="2"/>
      <scheme val="minor"/>
    </font>
    <font>
      <sz val="9"/>
      <color theme="1"/>
      <name val="Calibri"/>
      <family val="2"/>
      <charset val="186"/>
    </font>
    <font>
      <b/>
      <sz val="9"/>
      <color rgb="FF0070C0"/>
      <name val="Calibri"/>
      <family val="2"/>
      <scheme val="minor"/>
    </font>
    <font>
      <b/>
      <sz val="10"/>
      <color rgb="FF0070C0"/>
      <name val="Calibri"/>
      <family val="2"/>
      <charset val="186"/>
      <scheme val="minor"/>
    </font>
    <font>
      <b/>
      <sz val="10"/>
      <color theme="1"/>
      <name val="Calibri"/>
      <family val="2"/>
    </font>
    <font>
      <sz val="11"/>
      <color rgb="FF0070C0"/>
      <name val="Calibri"/>
      <family val="2"/>
      <charset val="186"/>
      <scheme val="minor"/>
    </font>
    <font>
      <b/>
      <sz val="11"/>
      <color rgb="FF0070C0"/>
      <name val="Calibri"/>
      <family val="2"/>
      <charset val="186"/>
      <scheme val="minor"/>
    </font>
    <font>
      <sz val="11"/>
      <color theme="1"/>
      <name val="Calibri"/>
      <family val="2"/>
      <scheme val="minor"/>
    </font>
    <font>
      <b/>
      <sz val="9"/>
      <color rgb="FF000000"/>
      <name val="Calibri"/>
      <family val="2"/>
      <scheme val="minor"/>
    </font>
    <font>
      <b/>
      <sz val="10"/>
      <color rgb="FF000000"/>
      <name val="Calibri"/>
      <family val="2"/>
      <scheme val="minor"/>
    </font>
    <font>
      <vertAlign val="superscript"/>
      <sz val="10"/>
      <color theme="1"/>
      <name val="Calibri"/>
      <family val="2"/>
      <scheme val="minor"/>
    </font>
    <font>
      <b/>
      <sz val="11"/>
      <color theme="1"/>
      <name val="Calibri"/>
      <family val="2"/>
    </font>
    <font>
      <sz val="9"/>
      <color indexed="81"/>
      <name val="Tahoma"/>
      <family val="2"/>
      <charset val="186"/>
    </font>
    <font>
      <b/>
      <sz val="9"/>
      <color rgb="FF0070C0"/>
      <name val="Calibri"/>
      <family val="2"/>
      <charset val="186"/>
      <scheme val="minor"/>
    </font>
    <font>
      <sz val="9"/>
      <color rgb="FF0070C0"/>
      <name val="Calibri"/>
      <family val="2"/>
      <charset val="186"/>
      <scheme val="minor"/>
    </font>
    <font>
      <b/>
      <sz val="10"/>
      <color rgb="FF0070C0"/>
      <name val="Calibri"/>
      <family val="2"/>
      <scheme val="minor"/>
    </font>
    <font>
      <sz val="11"/>
      <color theme="4"/>
      <name val="Calibri"/>
      <family val="2"/>
      <scheme val="minor"/>
    </font>
    <font>
      <sz val="11"/>
      <color theme="0"/>
      <name val="Calibri"/>
      <family val="2"/>
      <charset val="186"/>
      <scheme val="minor"/>
    </font>
    <font>
      <sz val="11"/>
      <color theme="0" tint="-0.34998626667073579"/>
      <name val="Calibri"/>
      <family val="2"/>
      <charset val="186"/>
      <scheme val="minor"/>
    </font>
    <font>
      <sz val="11"/>
      <color theme="0" tint="-0.499984740745262"/>
      <name val="Calibri"/>
      <family val="2"/>
      <charset val="186"/>
      <scheme val="minor"/>
    </font>
    <font>
      <sz val="9"/>
      <name val="Calibri"/>
      <family val="2"/>
      <charset val="186"/>
      <scheme val="minor"/>
    </font>
    <font>
      <sz val="11"/>
      <name val="Calibri"/>
      <family val="2"/>
      <charset val="186"/>
    </font>
    <font>
      <b/>
      <sz val="9"/>
      <color indexed="81"/>
      <name val="Tahoma"/>
      <family val="2"/>
      <charset val="186"/>
    </font>
    <font>
      <b/>
      <sz val="11"/>
      <color indexed="81"/>
      <name val="Tahoma"/>
      <family val="2"/>
      <charset val="186"/>
    </font>
    <font>
      <sz val="11"/>
      <color indexed="81"/>
      <name val="Tahoma"/>
      <family val="2"/>
      <charset val="186"/>
    </font>
    <font>
      <b/>
      <sz val="11"/>
      <color rgb="FFFF0000"/>
      <name val="Calibri"/>
      <family val="2"/>
      <charset val="186"/>
      <scheme val="minor"/>
    </font>
    <font>
      <sz val="10"/>
      <color rgb="FF000000"/>
      <name val="Calibri"/>
      <family val="2"/>
      <charset val="186"/>
      <scheme val="minor"/>
    </font>
    <font>
      <sz val="12"/>
      <color theme="1"/>
      <name val="Calibri"/>
      <family val="2"/>
      <charset val="186"/>
      <scheme val="minor"/>
    </font>
    <font>
      <b/>
      <sz val="12"/>
      <color theme="1"/>
      <name val="Calibri"/>
      <family val="2"/>
      <charset val="186"/>
      <scheme val="minor"/>
    </font>
    <font>
      <sz val="20"/>
      <color theme="1"/>
      <name val="Arial"/>
      <family val="2"/>
      <charset val="186"/>
    </font>
    <font>
      <sz val="20"/>
      <color rgb="FF000000"/>
      <name val="Calibri"/>
      <family val="2"/>
      <charset val="186"/>
      <scheme val="minor"/>
    </font>
    <font>
      <b/>
      <sz val="10"/>
      <color theme="1"/>
      <name val="Arial"/>
      <family val="2"/>
      <charset val="186"/>
    </font>
    <font>
      <b/>
      <sz val="10"/>
      <color rgb="FF000000"/>
      <name val="Calibri"/>
      <family val="2"/>
      <charset val="186"/>
      <scheme val="minor"/>
    </font>
  </fonts>
  <fills count="16">
    <fill>
      <patternFill patternType="none"/>
    </fill>
    <fill>
      <patternFill patternType="gray125"/>
    </fill>
    <fill>
      <patternFill patternType="solid">
        <fgColor theme="8" tint="0.79998168889431442"/>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BDD7EE"/>
        <bgColor indexed="64"/>
      </patternFill>
    </fill>
  </fills>
  <borders count="59">
    <border>
      <left/>
      <right/>
      <top/>
      <bottom/>
      <diagonal/>
    </border>
    <border>
      <left style="medium">
        <color rgb="FFC1C7D0"/>
      </left>
      <right style="medium">
        <color rgb="FFC1C7D0"/>
      </right>
      <top style="medium">
        <color rgb="FFC1C7D0"/>
      </top>
      <bottom style="medium">
        <color rgb="FFC1C7D0"/>
      </bottom>
      <diagonal/>
    </border>
    <border>
      <left style="medium">
        <color rgb="FFC1C7D0"/>
      </left>
      <right style="medium">
        <color rgb="FFC1C7D0"/>
      </right>
      <top style="medium">
        <color rgb="FFC1C7D0"/>
      </top>
      <bottom/>
      <diagonal/>
    </border>
    <border>
      <left style="medium">
        <color rgb="FFC1C7D0"/>
      </left>
      <right style="medium">
        <color rgb="FFC1C7D0"/>
      </right>
      <top/>
      <bottom/>
      <diagonal/>
    </border>
    <border>
      <left/>
      <right style="medium">
        <color rgb="FFC1C7D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rgb="FFC1C7D0"/>
      </right>
      <top style="medium">
        <color rgb="FFC1C7D0"/>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diagonal/>
    </border>
    <border>
      <left style="dotted">
        <color auto="1"/>
      </left>
      <right style="dotted">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dotted">
        <color auto="1"/>
      </right>
      <top style="hair">
        <color auto="1"/>
      </top>
      <bottom style="thin">
        <color auto="1"/>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right/>
      <top/>
      <bottom style="double">
        <color indexed="64"/>
      </bottom>
      <diagonal/>
    </border>
    <border>
      <left/>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dotted">
        <color auto="1"/>
      </left>
      <right/>
      <top style="dotted">
        <color auto="1"/>
      </top>
      <bottom/>
      <diagonal/>
    </border>
    <border>
      <left style="dotted">
        <color auto="1"/>
      </left>
      <right/>
      <top style="thin">
        <color auto="1"/>
      </top>
      <bottom style="dotted">
        <color auto="1"/>
      </bottom>
      <diagonal/>
    </border>
    <border>
      <left/>
      <right style="dotted">
        <color auto="1"/>
      </right>
      <top style="dotted">
        <color auto="1"/>
      </top>
      <bottom/>
      <diagonal/>
    </border>
    <border>
      <left/>
      <right style="dotted">
        <color auto="1"/>
      </right>
      <top style="thin">
        <color auto="1"/>
      </top>
      <bottom style="dotted">
        <color auto="1"/>
      </bottom>
      <diagonal/>
    </border>
    <border>
      <left style="dotted">
        <color auto="1"/>
      </left>
      <right style="dotted">
        <color auto="1"/>
      </right>
      <top/>
      <bottom style="dotted">
        <color auto="1"/>
      </bottom>
      <diagonal/>
    </border>
    <border>
      <left style="medium">
        <color indexed="64"/>
      </left>
      <right style="dotted">
        <color auto="1"/>
      </right>
      <top style="medium">
        <color indexed="64"/>
      </top>
      <bottom/>
      <diagonal/>
    </border>
    <border>
      <left style="dotted">
        <color auto="1"/>
      </left>
      <right style="medium">
        <color indexed="64"/>
      </right>
      <top style="medium">
        <color indexed="64"/>
      </top>
      <bottom/>
      <diagonal/>
    </border>
    <border>
      <left style="medium">
        <color indexed="64"/>
      </left>
      <right style="dotted">
        <color auto="1"/>
      </right>
      <top style="thin">
        <color auto="1"/>
      </top>
      <bottom style="medium">
        <color indexed="64"/>
      </bottom>
      <diagonal/>
    </border>
    <border>
      <left style="dotted">
        <color auto="1"/>
      </left>
      <right style="medium">
        <color indexed="64"/>
      </right>
      <top style="thin">
        <color auto="1"/>
      </top>
      <bottom style="medium">
        <color indexed="64"/>
      </bottom>
      <diagonal/>
    </border>
    <border>
      <left style="medium">
        <color indexed="64"/>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top style="thin">
        <color indexed="64"/>
      </top>
      <bottom style="double">
        <color indexed="64"/>
      </bottom>
      <diagonal/>
    </border>
    <border>
      <left style="hair">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s>
  <cellStyleXfs count="4">
    <xf numFmtId="0" fontId="0" fillId="0" borderId="0"/>
    <xf numFmtId="0" fontId="9" fillId="0" borderId="0" applyNumberFormat="0" applyFill="0" applyBorder="0" applyAlignment="0" applyProtection="0"/>
    <xf numFmtId="9" fontId="11" fillId="0" borderId="0" applyFont="0" applyFill="0" applyBorder="0" applyAlignment="0" applyProtection="0"/>
    <xf numFmtId="0" fontId="42" fillId="0" borderId="0"/>
  </cellStyleXfs>
  <cellXfs count="481">
    <xf numFmtId="0" fontId="0" fillId="0" borderId="0" xfId="0"/>
    <xf numFmtId="0" fontId="2" fillId="0" borderId="2" xfId="0" quotePrefix="1"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2" fillId="0" borderId="2" xfId="0" applyFont="1" applyBorder="1" applyAlignment="1">
      <alignment horizontal="center" vertical="center" wrapText="1"/>
    </xf>
    <xf numFmtId="16" fontId="2" fillId="0" borderId="2" xfId="0" quotePrefix="1" applyNumberFormat="1"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center" vertical="center"/>
    </xf>
    <xf numFmtId="0" fontId="2" fillId="0" borderId="2"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Border="1" applyAlignment="1">
      <alignment horizontal="center" vertical="center"/>
    </xf>
    <xf numFmtId="0" fontId="0" fillId="5" borderId="0" xfId="0" applyFill="1" applyAlignment="1">
      <alignment horizontal="center" vertical="center"/>
    </xf>
    <xf numFmtId="0" fontId="0" fillId="0" borderId="0" xfId="0" applyFill="1" applyAlignment="1">
      <alignment horizontal="center" vertical="center"/>
    </xf>
    <xf numFmtId="0" fontId="0" fillId="5" borderId="0" xfId="0" applyFill="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1" fillId="2" borderId="8" xfId="0" applyFont="1" applyFill="1" applyBorder="1" applyAlignment="1">
      <alignment horizontal="center" vertical="center"/>
    </xf>
    <xf numFmtId="0" fontId="1" fillId="5" borderId="8"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0" fontId="17" fillId="2" borderId="0" xfId="0" applyFont="1" applyFill="1"/>
    <xf numFmtId="0" fontId="11" fillId="0" borderId="2" xfId="1" applyFont="1" applyBorder="1" applyAlignment="1">
      <alignment horizontal="center" vertical="center" wrapText="1"/>
    </xf>
    <xf numFmtId="0" fontId="1" fillId="0" borderId="2" xfId="1" applyFont="1" applyBorder="1" applyAlignment="1">
      <alignment horizontal="center" vertical="center" wrapText="1"/>
    </xf>
    <xf numFmtId="0" fontId="2" fillId="0" borderId="3" xfId="0" quotePrefix="1" applyFont="1" applyBorder="1" applyAlignment="1">
      <alignment horizontal="center" vertical="center" wrapText="1"/>
    </xf>
    <xf numFmtId="0" fontId="12" fillId="0" borderId="2" xfId="0" applyFont="1" applyFill="1" applyBorder="1" applyAlignment="1">
      <alignment horizontal="center" vertical="center" wrapText="1"/>
    </xf>
    <xf numFmtId="0" fontId="0" fillId="0" borderId="2" xfId="0" applyFill="1" applyBorder="1"/>
    <xf numFmtId="0" fontId="0" fillId="0" borderId="2" xfId="0" applyBorder="1"/>
    <xf numFmtId="0" fontId="2" fillId="0" borderId="0" xfId="0" applyFont="1" applyBorder="1" applyAlignment="1">
      <alignment horizontal="center" vertical="center" wrapText="1"/>
    </xf>
    <xf numFmtId="16" fontId="2" fillId="6" borderId="2" xfId="0" quotePrefix="1"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2" xfId="0" quotePrefix="1" applyFont="1" applyFill="1" applyBorder="1" applyAlignment="1">
      <alignment horizontal="center" vertical="center" wrapText="1"/>
    </xf>
    <xf numFmtId="0" fontId="10" fillId="6" borderId="5" xfId="0" applyFont="1" applyFill="1" applyBorder="1" applyAlignment="1">
      <alignment horizontal="center" vertical="center" wrapText="1"/>
    </xf>
    <xf numFmtId="0" fontId="22" fillId="0" borderId="9" xfId="0" applyFont="1" applyBorder="1" applyAlignment="1">
      <alignment horizontal="left" vertical="center" wrapText="1"/>
    </xf>
    <xf numFmtId="0" fontId="1" fillId="2" borderId="9" xfId="0" applyFont="1" applyFill="1" applyBorder="1" applyAlignment="1">
      <alignment horizontal="left" vertical="center" wrapText="1"/>
    </xf>
    <xf numFmtId="0" fontId="21" fillId="0" borderId="9" xfId="0" applyFont="1" applyBorder="1" applyAlignment="1">
      <alignment horizontal="left" vertical="center" wrapText="1"/>
    </xf>
    <xf numFmtId="0" fontId="23" fillId="0" borderId="9" xfId="0" applyFont="1" applyBorder="1" applyAlignment="1">
      <alignment horizontal="left" vertical="center" wrapText="1"/>
    </xf>
    <xf numFmtId="0" fontId="22" fillId="0" borderId="9"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6" fillId="0" borderId="9" xfId="0" applyFont="1" applyBorder="1" applyAlignment="1">
      <alignment horizontal="left"/>
    </xf>
    <xf numFmtId="0" fontId="0" fillId="0" borderId="0" xfId="0" applyAlignment="1">
      <alignment horizontal="right"/>
    </xf>
    <xf numFmtId="0" fontId="0" fillId="0" borderId="0" xfId="0"/>
    <xf numFmtId="0" fontId="1" fillId="0" borderId="10" xfId="0" applyFont="1" applyFill="1" applyBorder="1" applyAlignment="1">
      <alignment horizontal="center" vertical="center" textRotation="90"/>
    </xf>
    <xf numFmtId="0" fontId="0" fillId="0" borderId="10" xfId="0" applyBorder="1"/>
    <xf numFmtId="0" fontId="0" fillId="0" borderId="10" xfId="0" applyFill="1" applyBorder="1"/>
    <xf numFmtId="0" fontId="28" fillId="0" borderId="10" xfId="0" applyFont="1" applyBorder="1"/>
    <xf numFmtId="0" fontId="34" fillId="2" borderId="5" xfId="0" applyFont="1" applyFill="1" applyBorder="1" applyAlignment="1">
      <alignment horizontal="center" vertical="center" wrapText="1"/>
    </xf>
    <xf numFmtId="0" fontId="0" fillId="0" borderId="0" xfId="0" applyFill="1" applyBorder="1" applyAlignment="1">
      <alignment horizontal="center" vertical="center"/>
    </xf>
    <xf numFmtId="0" fontId="35" fillId="0" borderId="0" xfId="0" applyFont="1"/>
    <xf numFmtId="0" fontId="36" fillId="0" borderId="0" xfId="0" applyFont="1"/>
    <xf numFmtId="0" fontId="0" fillId="9" borderId="0" xfId="0" applyFill="1"/>
    <xf numFmtId="0" fontId="35" fillId="9" borderId="0" xfId="0" applyFont="1" applyFill="1"/>
    <xf numFmtId="0" fontId="0" fillId="9" borderId="0" xfId="0" applyFill="1" applyAlignment="1">
      <alignment horizontal="right"/>
    </xf>
    <xf numFmtId="0" fontId="38" fillId="0" borderId="0" xfId="0" applyFont="1"/>
    <xf numFmtId="0" fontId="39" fillId="0" borderId="0" xfId="0" applyFont="1"/>
    <xf numFmtId="0" fontId="0" fillId="0" borderId="0" xfId="0" applyFill="1"/>
    <xf numFmtId="0" fontId="40" fillId="0" borderId="0" xfId="0" applyFont="1"/>
    <xf numFmtId="0" fontId="0" fillId="0" borderId="0" xfId="0" applyBorder="1"/>
    <xf numFmtId="0" fontId="19" fillId="0" borderId="0" xfId="0" applyFont="1"/>
    <xf numFmtId="0" fontId="35" fillId="0" borderId="0" xfId="0" applyFont="1" applyFill="1"/>
    <xf numFmtId="0" fontId="37" fillId="0" borderId="0" xfId="0" applyFont="1" applyFill="1"/>
    <xf numFmtId="0" fontId="27" fillId="7" borderId="10" xfId="0" applyFont="1" applyFill="1" applyBorder="1" applyAlignment="1">
      <alignment wrapText="1"/>
    </xf>
    <xf numFmtId="3" fontId="29" fillId="2" borderId="10" xfId="0" applyNumberFormat="1" applyFont="1" applyFill="1" applyBorder="1" applyAlignment="1">
      <alignment vertical="center" wrapText="1"/>
    </xf>
    <xf numFmtId="0" fontId="30" fillId="10" borderId="10" xfId="0" applyFont="1" applyFill="1" applyBorder="1" applyAlignment="1">
      <alignment horizontal="left" vertical="center" wrapText="1"/>
    </xf>
    <xf numFmtId="0" fontId="27" fillId="7" borderId="10" xfId="0" applyFont="1" applyFill="1" applyBorder="1" applyAlignment="1">
      <alignment horizontal="left" wrapText="1"/>
    </xf>
    <xf numFmtId="0" fontId="43" fillId="0" borderId="10" xfId="0" applyFont="1" applyBorder="1"/>
    <xf numFmtId="0" fontId="45" fillId="0" borderId="10" xfId="0" applyFont="1" applyBorder="1"/>
    <xf numFmtId="0" fontId="29" fillId="0" borderId="10" xfId="0" applyFont="1" applyBorder="1"/>
    <xf numFmtId="0" fontId="44" fillId="0" borderId="10" xfId="0" applyFont="1" applyBorder="1"/>
    <xf numFmtId="0" fontId="29" fillId="0" borderId="10" xfId="0" applyFont="1" applyFill="1" applyBorder="1"/>
    <xf numFmtId="0" fontId="32" fillId="0" borderId="10" xfId="0" applyFont="1" applyBorder="1"/>
    <xf numFmtId="0" fontId="30" fillId="0" borderId="10" xfId="0" applyFont="1" applyFill="1" applyBorder="1" applyAlignment="1">
      <alignment horizontal="center" vertical="center" textRotation="90"/>
    </xf>
    <xf numFmtId="0" fontId="29" fillId="0" borderId="10" xfId="0" applyFont="1" applyBorder="1" applyAlignment="1">
      <alignment wrapText="1"/>
    </xf>
    <xf numFmtId="0" fontId="47" fillId="0" borderId="10" xfId="0" applyFont="1" applyBorder="1"/>
    <xf numFmtId="0" fontId="28" fillId="0" borderId="10" xfId="0" applyFont="1" applyBorder="1" applyAlignment="1" applyProtection="1">
      <alignment horizontal="left"/>
      <protection locked="0"/>
    </xf>
    <xf numFmtId="0" fontId="48" fillId="0" borderId="10" xfId="0" applyFont="1" applyBorder="1"/>
    <xf numFmtId="0" fontId="0" fillId="0" borderId="0" xfId="0"/>
    <xf numFmtId="0" fontId="11" fillId="0" borderId="0" xfId="0" applyFont="1" applyAlignment="1" applyProtection="1">
      <alignment horizontal="left"/>
      <protection locked="0"/>
    </xf>
    <xf numFmtId="0" fontId="0" fillId="0" borderId="0" xfId="0" applyAlignment="1" applyProtection="1">
      <alignment horizontal="right"/>
      <protection locked="0"/>
    </xf>
    <xf numFmtId="0" fontId="11" fillId="0" borderId="0" xfId="0" applyFont="1" applyAlignment="1" applyProtection="1">
      <alignment horizontal="right"/>
      <protection locked="0"/>
    </xf>
    <xf numFmtId="0" fontId="0" fillId="0" borderId="9" xfId="0" applyBorder="1"/>
    <xf numFmtId="0" fontId="28" fillId="0" borderId="9" xfId="0" applyFont="1" applyBorder="1" applyAlignment="1" applyProtection="1">
      <alignment horizontal="left" wrapText="1"/>
      <protection locked="0"/>
    </xf>
    <xf numFmtId="0" fontId="28" fillId="0" borderId="9" xfId="0" applyFont="1" applyBorder="1"/>
    <xf numFmtId="0" fontId="49" fillId="0" borderId="9" xfId="0" applyFont="1" applyBorder="1"/>
    <xf numFmtId="0" fontId="28" fillId="0" borderId="9" xfId="0" applyFont="1" applyBorder="1" applyAlignment="1" applyProtection="1">
      <alignment horizontal="left"/>
      <protection locked="0"/>
    </xf>
    <xf numFmtId="2" fontId="28" fillId="0" borderId="9" xfId="0" applyNumberFormat="1" applyFont="1" applyBorder="1" applyAlignment="1" applyProtection="1">
      <alignment horizontal="left"/>
      <protection locked="0"/>
    </xf>
    <xf numFmtId="2" fontId="28" fillId="0" borderId="9" xfId="0" applyNumberFormat="1" applyFont="1" applyBorder="1"/>
    <xf numFmtId="0" fontId="50" fillId="0" borderId="0" xfId="0" applyFont="1" applyAlignment="1">
      <alignment horizontal="right"/>
    </xf>
    <xf numFmtId="0" fontId="51" fillId="0" borderId="0" xfId="0" applyFont="1"/>
    <xf numFmtId="0" fontId="52" fillId="0" borderId="0" xfId="0" applyFont="1"/>
    <xf numFmtId="0" fontId="52" fillId="0" borderId="0" xfId="0" applyFont="1" applyAlignment="1">
      <alignment horizontal="right"/>
    </xf>
    <xf numFmtId="0" fontId="22" fillId="0" borderId="0" xfId="0" applyFont="1"/>
    <xf numFmtId="0" fontId="22" fillId="0" borderId="0" xfId="0" applyFont="1" applyAlignment="1">
      <alignment horizontal="right"/>
    </xf>
    <xf numFmtId="164" fontId="28" fillId="0" borderId="10" xfId="0" applyNumberFormat="1" applyFont="1" applyBorder="1"/>
    <xf numFmtId="1" fontId="29" fillId="0" borderId="10" xfId="0" applyNumberFormat="1" applyFont="1" applyBorder="1"/>
    <xf numFmtId="1" fontId="28" fillId="0" borderId="10" xfId="0" applyNumberFormat="1" applyFont="1" applyBorder="1"/>
    <xf numFmtId="0" fontId="28" fillId="0" borderId="10" xfId="0" applyFont="1" applyFill="1" applyBorder="1"/>
    <xf numFmtId="0" fontId="43" fillId="0" borderId="10" xfId="0" applyFont="1" applyBorder="1" applyAlignment="1">
      <alignment wrapText="1"/>
    </xf>
    <xf numFmtId="0" fontId="32" fillId="0" borderId="10" xfId="0" applyFont="1" applyBorder="1" applyAlignment="1">
      <alignment wrapText="1"/>
    </xf>
    <xf numFmtId="0" fontId="32" fillId="0" borderId="10" xfId="0" applyFont="1" applyFill="1" applyBorder="1" applyAlignment="1">
      <alignment wrapText="1"/>
    </xf>
    <xf numFmtId="0" fontId="43" fillId="0" borderId="9" xfId="0" applyFont="1" applyBorder="1" applyAlignment="1" applyProtection="1">
      <alignment horizontal="left" wrapText="1"/>
      <protection locked="0"/>
    </xf>
    <xf numFmtId="0" fontId="55" fillId="0" borderId="10" xfId="0" applyFont="1" applyFill="1" applyBorder="1" applyAlignment="1">
      <alignment horizontal="center" vertical="center"/>
    </xf>
    <xf numFmtId="0" fontId="54" fillId="0" borderId="0" xfId="0" applyFont="1" applyAlignment="1">
      <alignment wrapText="1"/>
    </xf>
    <xf numFmtId="0" fontId="33" fillId="10" borderId="10" xfId="0" applyFont="1" applyFill="1" applyBorder="1" applyAlignment="1">
      <alignment horizontal="left" vertical="center" wrapText="1"/>
    </xf>
    <xf numFmtId="4" fontId="29" fillId="11" borderId="10" xfId="0" applyNumberFormat="1" applyFont="1" applyFill="1" applyBorder="1" applyAlignment="1">
      <alignment vertical="center"/>
    </xf>
    <xf numFmtId="0" fontId="29" fillId="11" borderId="10" xfId="0" applyFont="1" applyFill="1" applyBorder="1" applyAlignment="1">
      <alignment vertical="center"/>
    </xf>
    <xf numFmtId="0" fontId="0" fillId="11" borderId="10" xfId="0" applyFill="1" applyBorder="1"/>
    <xf numFmtId="9" fontId="29" fillId="0" borderId="10" xfId="0" applyNumberFormat="1" applyFont="1" applyBorder="1"/>
    <xf numFmtId="0" fontId="28" fillId="8" borderId="10" xfId="0" applyFont="1" applyFill="1" applyBorder="1" applyAlignment="1">
      <alignment vertical="center" wrapText="1"/>
    </xf>
    <xf numFmtId="3" fontId="28" fillId="0" borderId="10" xfId="0" applyNumberFormat="1" applyFont="1" applyBorder="1"/>
    <xf numFmtId="165" fontId="45" fillId="0" borderId="10" xfId="0" applyNumberFormat="1" applyFont="1" applyBorder="1"/>
    <xf numFmtId="1" fontId="45" fillId="0" borderId="10" xfId="0" applyNumberFormat="1" applyFont="1" applyBorder="1"/>
    <xf numFmtId="0" fontId="29" fillId="0" borderId="10" xfId="0" applyFont="1" applyBorder="1" applyAlignment="1">
      <alignment horizontal="center"/>
    </xf>
    <xf numFmtId="0" fontId="29" fillId="0" borderId="10" xfId="0" applyFont="1" applyBorder="1" applyAlignment="1"/>
    <xf numFmtId="165" fontId="28" fillId="0" borderId="10" xfId="0" applyNumberFormat="1" applyFont="1" applyBorder="1"/>
    <xf numFmtId="0" fontId="41" fillId="10" borderId="0" xfId="0" applyFont="1" applyFill="1"/>
    <xf numFmtId="0" fontId="0" fillId="8" borderId="0" xfId="0" applyFill="1"/>
    <xf numFmtId="0" fontId="0" fillId="2" borderId="0" xfId="0" applyFill="1"/>
    <xf numFmtId="0" fontId="0" fillId="11" borderId="0" xfId="0" applyFill="1"/>
    <xf numFmtId="0" fontId="0" fillId="0" borderId="11" xfId="0" applyBorder="1"/>
    <xf numFmtId="0" fontId="0" fillId="10" borderId="11" xfId="0" applyFill="1" applyBorder="1" applyAlignment="1">
      <alignment horizontal="center" vertical="center" wrapText="1"/>
    </xf>
    <xf numFmtId="0" fontId="0" fillId="8" borderId="11" xfId="0" applyFill="1" applyBorder="1" applyAlignment="1">
      <alignment horizontal="center" vertical="center" wrapText="1"/>
    </xf>
    <xf numFmtId="0" fontId="0" fillId="7" borderId="11" xfId="0" applyFill="1" applyBorder="1" applyAlignment="1">
      <alignment horizontal="center" vertical="center" wrapText="1"/>
    </xf>
    <xf numFmtId="0" fontId="0" fillId="2" borderId="11" xfId="0" applyFill="1" applyBorder="1" applyAlignment="1">
      <alignment horizontal="center" vertical="center" wrapText="1"/>
    </xf>
    <xf numFmtId="0" fontId="0" fillId="9" borderId="11" xfId="0" applyFill="1" applyBorder="1" applyAlignment="1">
      <alignment horizontal="center" vertical="center" wrapText="1"/>
    </xf>
    <xf numFmtId="0" fontId="28" fillId="8" borderId="12" xfId="0" applyFont="1" applyFill="1" applyBorder="1" applyAlignment="1">
      <alignment vertical="center" wrapText="1"/>
    </xf>
    <xf numFmtId="0" fontId="32" fillId="10" borderId="11" xfId="0" applyFont="1" applyFill="1" applyBorder="1" applyAlignment="1">
      <alignment vertical="center" wrapText="1"/>
    </xf>
    <xf numFmtId="0" fontId="33" fillId="10" borderId="11" xfId="0" applyFont="1" applyFill="1" applyBorder="1" applyAlignment="1">
      <alignment wrapText="1"/>
    </xf>
    <xf numFmtId="0" fontId="28" fillId="8" borderId="11" xfId="0" applyFont="1" applyFill="1" applyBorder="1" applyAlignment="1">
      <alignment vertical="center" wrapText="1"/>
    </xf>
    <xf numFmtId="0" fontId="31" fillId="7" borderId="11" xfId="0" applyFont="1" applyFill="1" applyBorder="1" applyAlignment="1">
      <alignment wrapText="1"/>
    </xf>
    <xf numFmtId="3" fontId="29" fillId="2" borderId="11" xfId="0" applyNumberFormat="1" applyFont="1" applyFill="1" applyBorder="1" applyAlignment="1">
      <alignment vertical="center" wrapText="1"/>
    </xf>
    <xf numFmtId="0" fontId="29" fillId="11" borderId="11" xfId="0" applyFont="1" applyFill="1" applyBorder="1" applyAlignment="1">
      <alignment vertical="center"/>
    </xf>
    <xf numFmtId="0" fontId="0" fillId="0" borderId="12" xfId="0" applyFill="1" applyBorder="1"/>
    <xf numFmtId="0" fontId="0" fillId="10" borderId="12" xfId="0" applyFill="1" applyBorder="1"/>
    <xf numFmtId="0" fontId="0" fillId="0" borderId="11" xfId="0" applyFill="1" applyBorder="1"/>
    <xf numFmtId="0" fontId="0" fillId="11" borderId="11" xfId="0" applyFill="1" applyBorder="1"/>
    <xf numFmtId="3" fontId="0" fillId="8" borderId="12" xfId="0" applyNumberFormat="1" applyFill="1" applyBorder="1" applyAlignment="1">
      <alignment horizontal="right" vertical="center"/>
    </xf>
    <xf numFmtId="3" fontId="29" fillId="8" borderId="10" xfId="0" applyNumberFormat="1" applyFont="1" applyFill="1" applyBorder="1" applyAlignment="1">
      <alignment horizontal="right" vertical="center"/>
    </xf>
    <xf numFmtId="3" fontId="29" fillId="8" borderId="10" xfId="0" applyNumberFormat="1" applyFont="1" applyFill="1" applyBorder="1" applyAlignment="1">
      <alignment horizontal="right" vertical="center" wrapText="1"/>
    </xf>
    <xf numFmtId="3" fontId="33" fillId="8" borderId="11" xfId="0" applyNumberFormat="1" applyFont="1" applyFill="1" applyBorder="1" applyAlignment="1">
      <alignment horizontal="right" vertical="center"/>
    </xf>
    <xf numFmtId="3" fontId="29" fillId="8" borderId="11" xfId="0" applyNumberFormat="1" applyFont="1" applyFill="1" applyBorder="1" applyAlignment="1">
      <alignment horizontal="right" vertical="center" wrapText="1"/>
    </xf>
    <xf numFmtId="0" fontId="60" fillId="0" borderId="10" xfId="0" applyFont="1" applyBorder="1"/>
    <xf numFmtId="0" fontId="61" fillId="0" borderId="10" xfId="0" applyFont="1" applyBorder="1"/>
    <xf numFmtId="0" fontId="0" fillId="0" borderId="10" xfId="0" applyBorder="1" applyAlignment="1">
      <alignment horizontal="right"/>
    </xf>
    <xf numFmtId="0" fontId="46" fillId="0" borderId="10" xfId="0" applyFont="1" applyBorder="1" applyAlignment="1">
      <alignment horizontal="right"/>
    </xf>
    <xf numFmtId="0" fontId="1" fillId="0" borderId="10" xfId="0" applyFont="1" applyFill="1" applyBorder="1" applyAlignment="1">
      <alignment horizontal="right" vertical="center" textRotation="90"/>
    </xf>
    <xf numFmtId="0" fontId="53" fillId="0" borderId="10" xfId="0" applyFont="1" applyBorder="1" applyAlignment="1">
      <alignment horizontal="right"/>
    </xf>
    <xf numFmtId="0" fontId="29" fillId="0" borderId="10" xfId="0" applyFont="1" applyFill="1" applyBorder="1" applyAlignment="1">
      <alignment horizontal="center"/>
    </xf>
    <xf numFmtId="0" fontId="33" fillId="0" borderId="10" xfId="0" applyFont="1" applyBorder="1"/>
    <xf numFmtId="0" fontId="0" fillId="0" borderId="12" xfId="0" applyBorder="1"/>
    <xf numFmtId="3" fontId="32" fillId="8" borderId="10" xfId="0" applyNumberFormat="1" applyFont="1" applyFill="1" applyBorder="1" applyAlignment="1">
      <alignment horizontal="right" vertical="center"/>
    </xf>
    <xf numFmtId="3" fontId="32" fillId="8" borderId="12" xfId="0" applyNumberFormat="1" applyFont="1" applyFill="1" applyBorder="1" applyAlignment="1">
      <alignment horizontal="right" vertical="center"/>
    </xf>
    <xf numFmtId="0" fontId="30" fillId="0" borderId="0" xfId="0" applyFont="1" applyFill="1" applyBorder="1" applyAlignment="1">
      <alignment horizontal="center" vertical="center" textRotation="90"/>
    </xf>
    <xf numFmtId="0" fontId="0" fillId="0" borderId="0" xfId="0" applyBorder="1" applyAlignment="1">
      <alignment horizontal="right"/>
    </xf>
    <xf numFmtId="0" fontId="46" fillId="0" borderId="0" xfId="0" applyFont="1" applyBorder="1" applyAlignment="1">
      <alignment horizontal="right"/>
    </xf>
    <xf numFmtId="0" fontId="1" fillId="0" borderId="0" xfId="0" applyFont="1" applyFill="1" applyBorder="1" applyAlignment="1">
      <alignment horizontal="right" vertical="center" textRotation="90"/>
    </xf>
    <xf numFmtId="0" fontId="53" fillId="0" borderId="0" xfId="0" applyFont="1" applyBorder="1" applyAlignment="1">
      <alignment horizontal="right"/>
    </xf>
    <xf numFmtId="0" fontId="46" fillId="0" borderId="10" xfId="0" applyFont="1" applyBorder="1" applyAlignment="1">
      <alignment horizontal="left"/>
    </xf>
    <xf numFmtId="3" fontId="46" fillId="0" borderId="10" xfId="0" applyNumberFormat="1" applyFont="1" applyBorder="1" applyAlignment="1">
      <alignment horizontal="right"/>
    </xf>
    <xf numFmtId="2" fontId="29" fillId="0" borderId="10" xfId="0" applyNumberFormat="1" applyFont="1" applyFill="1" applyBorder="1"/>
    <xf numFmtId="0" fontId="27" fillId="7" borderId="12" xfId="0" applyFont="1" applyFill="1" applyBorder="1" applyAlignment="1">
      <alignment horizontal="left" vertical="center" wrapText="1"/>
    </xf>
    <xf numFmtId="0" fontId="44" fillId="0" borderId="10" xfId="0" applyFont="1" applyFill="1" applyBorder="1"/>
    <xf numFmtId="2" fontId="28" fillId="0" borderId="10" xfId="0" applyNumberFormat="1" applyFont="1" applyBorder="1"/>
    <xf numFmtId="3" fontId="29" fillId="2" borderId="12" xfId="0" applyNumberFormat="1" applyFont="1" applyFill="1" applyBorder="1" applyAlignment="1">
      <alignment horizontal="right" vertical="center"/>
    </xf>
    <xf numFmtId="3" fontId="30" fillId="2" borderId="12" xfId="0" applyNumberFormat="1" applyFont="1" applyFill="1" applyBorder="1" applyAlignment="1">
      <alignment horizontal="right" vertical="center"/>
    </xf>
    <xf numFmtId="3" fontId="49" fillId="2" borderId="10" xfId="0" applyNumberFormat="1" applyFont="1" applyFill="1" applyBorder="1" applyAlignment="1">
      <alignment vertical="center"/>
    </xf>
    <xf numFmtId="3" fontId="29" fillId="2" borderId="10" xfId="0" applyNumberFormat="1" applyFont="1" applyFill="1" applyBorder="1" applyAlignment="1">
      <alignment vertical="center"/>
    </xf>
    <xf numFmtId="3" fontId="49" fillId="2" borderId="11" xfId="0" applyNumberFormat="1" applyFont="1" applyFill="1" applyBorder="1" applyAlignment="1">
      <alignment vertical="center"/>
    </xf>
    <xf numFmtId="3" fontId="29" fillId="2" borderId="11" xfId="0" applyNumberFormat="1" applyFont="1" applyFill="1" applyBorder="1" applyAlignment="1">
      <alignment vertical="center"/>
    </xf>
    <xf numFmtId="3" fontId="49" fillId="2" borderId="10" xfId="0" applyNumberFormat="1" applyFont="1" applyFill="1" applyBorder="1"/>
    <xf numFmtId="3" fontId="29" fillId="2" borderId="10" xfId="0" applyNumberFormat="1" applyFont="1" applyFill="1" applyBorder="1"/>
    <xf numFmtId="3" fontId="49" fillId="2" borderId="11" xfId="0" applyNumberFormat="1" applyFont="1" applyFill="1" applyBorder="1"/>
    <xf numFmtId="3" fontId="29" fillId="2" borderId="11" xfId="0" applyNumberFormat="1" applyFont="1" applyFill="1" applyBorder="1"/>
    <xf numFmtId="3" fontId="41" fillId="11" borderId="12" xfId="0" applyNumberFormat="1" applyFont="1" applyFill="1" applyBorder="1" applyAlignment="1">
      <alignment horizontal="center" vertical="center"/>
    </xf>
    <xf numFmtId="164" fontId="28" fillId="0" borderId="10" xfId="0" applyNumberFormat="1" applyFont="1" applyFill="1" applyBorder="1"/>
    <xf numFmtId="0" fontId="41" fillId="8" borderId="11"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11" borderId="11" xfId="0" applyFont="1" applyFill="1" applyBorder="1" applyAlignment="1">
      <alignment horizontal="center" vertical="center" wrapText="1"/>
    </xf>
    <xf numFmtId="0" fontId="0" fillId="8" borderId="10" xfId="0" applyFill="1" applyBorder="1" applyAlignment="1">
      <alignment wrapText="1"/>
    </xf>
    <xf numFmtId="0" fontId="28" fillId="8" borderId="10" xfId="0" applyFont="1" applyFill="1" applyBorder="1" applyAlignment="1">
      <alignment wrapText="1"/>
    </xf>
    <xf numFmtId="0" fontId="28" fillId="8" borderId="12" xfId="0" applyFont="1" applyFill="1" applyBorder="1" applyAlignment="1">
      <alignment wrapText="1"/>
    </xf>
    <xf numFmtId="0" fontId="28" fillId="8" borderId="12" xfId="0" applyFont="1" applyFill="1" applyBorder="1" applyAlignment="1">
      <alignment horizontal="center" vertical="center" wrapText="1"/>
    </xf>
    <xf numFmtId="0" fontId="28" fillId="8" borderId="10"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33" fillId="10" borderId="11" xfId="0" applyFont="1" applyFill="1" applyBorder="1" applyAlignment="1">
      <alignment vertical="center" wrapText="1"/>
    </xf>
    <xf numFmtId="0" fontId="0" fillId="10" borderId="12" xfId="0" applyFill="1" applyBorder="1" applyAlignment="1">
      <alignment vertical="center"/>
    </xf>
    <xf numFmtId="0" fontId="33" fillId="12" borderId="12" xfId="0" applyFont="1" applyFill="1" applyBorder="1" applyAlignment="1">
      <alignment horizontal="left" vertical="center"/>
    </xf>
    <xf numFmtId="0" fontId="33" fillId="12" borderId="10" xfId="0" applyFont="1" applyFill="1" applyBorder="1" applyAlignment="1">
      <alignment vertical="center"/>
    </xf>
    <xf numFmtId="0" fontId="33" fillId="12" borderId="11" xfId="0" applyFont="1" applyFill="1" applyBorder="1" applyAlignment="1">
      <alignment vertical="center"/>
    </xf>
    <xf numFmtId="0" fontId="41" fillId="12" borderId="11" xfId="0" applyFont="1" applyFill="1" applyBorder="1" applyAlignment="1">
      <alignment horizontal="left" vertical="center"/>
    </xf>
    <xf numFmtId="0" fontId="0" fillId="12" borderId="12" xfId="0" applyFill="1" applyBorder="1"/>
    <xf numFmtId="0" fontId="0" fillId="12" borderId="10" xfId="0" applyFill="1" applyBorder="1"/>
    <xf numFmtId="0" fontId="0" fillId="12" borderId="11" xfId="0" applyFill="1" applyBorder="1"/>
    <xf numFmtId="0" fontId="29" fillId="0" borderId="0" xfId="0" applyFont="1"/>
    <xf numFmtId="0" fontId="28" fillId="8" borderId="13" xfId="0" applyFont="1" applyFill="1" applyBorder="1" applyAlignment="1">
      <alignment wrapText="1"/>
    </xf>
    <xf numFmtId="0" fontId="28" fillId="8" borderId="11" xfId="0" applyFont="1" applyFill="1" applyBorder="1" applyAlignment="1">
      <alignment wrapText="1"/>
    </xf>
    <xf numFmtId="3" fontId="29" fillId="8" borderId="11" xfId="0" applyNumberFormat="1" applyFont="1" applyFill="1" applyBorder="1" applyAlignment="1">
      <alignment horizontal="right" vertical="center"/>
    </xf>
    <xf numFmtId="3" fontId="32" fillId="8" borderId="11" xfId="0" applyNumberFormat="1" applyFont="1" applyFill="1" applyBorder="1" applyAlignment="1">
      <alignment horizontal="right" vertical="center"/>
    </xf>
    <xf numFmtId="0" fontId="41" fillId="8" borderId="0" xfId="0" applyFont="1" applyFill="1"/>
    <xf numFmtId="0" fontId="41" fillId="7" borderId="0" xfId="0" applyFont="1" applyFill="1"/>
    <xf numFmtId="0" fontId="32" fillId="10" borderId="12" xfId="0" applyFont="1" applyFill="1" applyBorder="1" applyAlignment="1">
      <alignment wrapText="1"/>
    </xf>
    <xf numFmtId="0" fontId="28" fillId="10" borderId="12" xfId="0" applyFont="1" applyFill="1" applyBorder="1" applyAlignment="1">
      <alignment vertical="center"/>
    </xf>
    <xf numFmtId="0" fontId="29" fillId="10" borderId="12" xfId="0" applyFont="1" applyFill="1" applyBorder="1" applyAlignment="1">
      <alignment vertical="center"/>
    </xf>
    <xf numFmtId="3" fontId="28" fillId="8" borderId="12" xfId="0" applyNumberFormat="1" applyFont="1" applyFill="1" applyBorder="1" applyAlignment="1">
      <alignment horizontal="right" vertical="center"/>
    </xf>
    <xf numFmtId="3" fontId="47" fillId="8" borderId="12" xfId="0" applyNumberFormat="1" applyFont="1" applyFill="1" applyBorder="1" applyAlignment="1">
      <alignment horizontal="right" vertical="center"/>
    </xf>
    <xf numFmtId="0" fontId="28" fillId="7" borderId="12" xfId="0" applyFont="1" applyFill="1" applyBorder="1" applyAlignment="1">
      <alignment horizontal="left" vertical="center" wrapText="1"/>
    </xf>
    <xf numFmtId="3" fontId="28" fillId="2" borderId="12" xfId="0" applyNumberFormat="1" applyFont="1" applyFill="1" applyBorder="1" applyAlignment="1">
      <alignment horizontal="right" vertical="center"/>
    </xf>
    <xf numFmtId="0" fontId="33" fillId="10" borderId="12" xfId="0" applyFont="1" applyFill="1" applyBorder="1" applyAlignment="1">
      <alignment wrapText="1"/>
    </xf>
    <xf numFmtId="0" fontId="33" fillId="10" borderId="12" xfId="0" applyFont="1" applyFill="1" applyBorder="1"/>
    <xf numFmtId="0" fontId="27" fillId="7" borderId="11" xfId="0" applyFont="1" applyFill="1" applyBorder="1" applyAlignment="1">
      <alignment horizontal="left" wrapText="1"/>
    </xf>
    <xf numFmtId="0" fontId="0" fillId="0" borderId="9" xfId="0" applyBorder="1" applyAlignment="1">
      <alignment wrapText="1"/>
    </xf>
    <xf numFmtId="0" fontId="33" fillId="12" borderId="9" xfId="0" applyFont="1" applyFill="1" applyBorder="1" applyAlignment="1">
      <alignment horizontal="left" vertical="center" wrapText="1"/>
    </xf>
    <xf numFmtId="0" fontId="0" fillId="0" borderId="9" xfId="0" applyFill="1" applyBorder="1" applyAlignment="1">
      <alignment wrapText="1"/>
    </xf>
    <xf numFmtId="0" fontId="0" fillId="12" borderId="9" xfId="0" applyFill="1" applyBorder="1" applyAlignment="1">
      <alignment wrapText="1"/>
    </xf>
    <xf numFmtId="0" fontId="32" fillId="0" borderId="0" xfId="0" applyFont="1" applyFill="1" applyBorder="1" applyAlignment="1">
      <alignment wrapText="1"/>
    </xf>
    <xf numFmtId="0" fontId="29" fillId="0" borderId="0" xfId="0" applyFont="1" applyBorder="1"/>
    <xf numFmtId="3" fontId="33" fillId="12" borderId="9" xfId="0" applyNumberFormat="1" applyFont="1" applyFill="1" applyBorder="1" applyAlignment="1">
      <alignment horizontal="right" vertical="center" wrapText="1"/>
    </xf>
    <xf numFmtId="3" fontId="33" fillId="2" borderId="9" xfId="0" applyNumberFormat="1" applyFont="1" applyFill="1" applyBorder="1" applyAlignment="1">
      <alignment horizontal="right" vertical="center" wrapText="1"/>
    </xf>
    <xf numFmtId="3" fontId="0" fillId="0" borderId="0" xfId="0" applyNumberFormat="1"/>
    <xf numFmtId="3" fontId="0" fillId="11" borderId="9" xfId="0" applyNumberFormat="1" applyFill="1" applyBorder="1" applyAlignment="1">
      <alignment vertical="center"/>
    </xf>
    <xf numFmtId="0" fontId="33" fillId="9" borderId="10" xfId="0" applyFont="1" applyFill="1" applyBorder="1" applyAlignment="1">
      <alignment vertical="center"/>
    </xf>
    <xf numFmtId="0" fontId="33" fillId="9" borderId="11" xfId="0" applyFont="1" applyFill="1" applyBorder="1" applyAlignment="1">
      <alignment vertical="center"/>
    </xf>
    <xf numFmtId="0" fontId="32" fillId="0" borderId="9" xfId="0" applyFont="1" applyFill="1" applyBorder="1" applyAlignment="1">
      <alignment wrapText="1"/>
    </xf>
    <xf numFmtId="0" fontId="29" fillId="0" borderId="9" xfId="0" applyFont="1" applyBorder="1"/>
    <xf numFmtId="0" fontId="41" fillId="0" borderId="9" xfId="0" applyFont="1" applyBorder="1" applyAlignment="1">
      <alignment wrapText="1"/>
    </xf>
    <xf numFmtId="0" fontId="41" fillId="0" borderId="9" xfId="0" applyFont="1" applyBorder="1"/>
    <xf numFmtId="0" fontId="59" fillId="0" borderId="9" xfId="0" applyFont="1" applyBorder="1"/>
    <xf numFmtId="3" fontId="28" fillId="2" borderId="14" xfId="0" applyNumberFormat="1" applyFont="1" applyFill="1" applyBorder="1" applyAlignment="1">
      <alignment horizontal="right" vertical="center"/>
    </xf>
    <xf numFmtId="3" fontId="29" fillId="2" borderId="14" xfId="0" applyNumberFormat="1" applyFont="1" applyFill="1" applyBorder="1" applyAlignment="1">
      <alignment horizontal="right" vertical="center"/>
    </xf>
    <xf numFmtId="0" fontId="68" fillId="0" borderId="9" xfId="0" applyFont="1" applyBorder="1" applyAlignment="1">
      <alignment wrapText="1"/>
    </xf>
    <xf numFmtId="0" fontId="41" fillId="8" borderId="9"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41" fillId="11" borderId="9" xfId="0" applyFont="1" applyFill="1" applyBorder="1" applyAlignment="1">
      <alignment horizontal="center" vertical="center" wrapText="1"/>
    </xf>
    <xf numFmtId="0" fontId="41" fillId="9" borderId="9" xfId="0" applyFont="1" applyFill="1" applyBorder="1" applyAlignment="1">
      <alignment horizontal="center" vertical="center" wrapText="1"/>
    </xf>
    <xf numFmtId="3" fontId="41" fillId="9" borderId="9" xfId="0" applyNumberFormat="1" applyFont="1" applyFill="1" applyBorder="1" applyAlignment="1">
      <alignment vertical="center"/>
    </xf>
    <xf numFmtId="3" fontId="0" fillId="9" borderId="9" xfId="0" applyNumberFormat="1" applyFill="1" applyBorder="1" applyAlignment="1">
      <alignment vertical="center"/>
    </xf>
    <xf numFmtId="167" fontId="33" fillId="12" borderId="9" xfId="2" applyNumberFormat="1" applyFont="1" applyFill="1" applyBorder="1" applyAlignment="1">
      <alignment horizontal="left" vertical="center" wrapText="1"/>
    </xf>
    <xf numFmtId="0" fontId="32" fillId="0" borderId="9" xfId="0" applyFont="1" applyBorder="1" applyAlignment="1">
      <alignment wrapText="1"/>
    </xf>
    <xf numFmtId="166" fontId="0" fillId="0" borderId="0" xfId="0" applyNumberFormat="1"/>
    <xf numFmtId="0" fontId="70" fillId="0" borderId="0" xfId="0" applyFont="1"/>
    <xf numFmtId="0" fontId="71" fillId="0" borderId="0" xfId="0" applyFont="1"/>
    <xf numFmtId="0" fontId="69" fillId="0" borderId="0" xfId="0" applyFont="1"/>
    <xf numFmtId="164" fontId="70" fillId="0" borderId="0" xfId="0" applyNumberFormat="1" applyFont="1"/>
    <xf numFmtId="0" fontId="37" fillId="2" borderId="11" xfId="0" applyFont="1" applyFill="1" applyBorder="1" applyAlignment="1">
      <alignment horizontal="center" vertical="center" wrapText="1"/>
    </xf>
    <xf numFmtId="3" fontId="72" fillId="2" borderId="12" xfId="0" applyNumberFormat="1" applyFont="1" applyFill="1" applyBorder="1" applyAlignment="1">
      <alignment horizontal="right" vertical="center"/>
    </xf>
    <xf numFmtId="0" fontId="0" fillId="10" borderId="11" xfId="0" applyFill="1" applyBorder="1" applyAlignment="1" applyProtection="1">
      <alignment horizontal="center" vertical="center" wrapText="1"/>
    </xf>
    <xf numFmtId="0" fontId="0" fillId="10" borderId="12" xfId="0" applyFill="1" applyBorder="1" applyAlignment="1" applyProtection="1">
      <alignment horizontal="right" vertical="center"/>
    </xf>
    <xf numFmtId="3" fontId="29" fillId="10" borderId="12" xfId="0" applyNumberFormat="1" applyFont="1" applyFill="1" applyBorder="1" applyAlignment="1" applyProtection="1">
      <alignment horizontal="right" vertical="center"/>
    </xf>
    <xf numFmtId="1" fontId="29" fillId="10" borderId="10" xfId="0" applyNumberFormat="1" applyFont="1" applyFill="1" applyBorder="1" applyAlignment="1" applyProtection="1">
      <alignment horizontal="right" vertical="center" wrapText="1"/>
    </xf>
    <xf numFmtId="3" fontId="29" fillId="10" borderId="10" xfId="0" applyNumberFormat="1" applyFont="1" applyFill="1" applyBorder="1" applyAlignment="1" applyProtection="1">
      <alignment horizontal="right" vertical="center"/>
    </xf>
    <xf numFmtId="0" fontId="29" fillId="10" borderId="10" xfId="0" applyFont="1" applyFill="1" applyBorder="1" applyAlignment="1" applyProtection="1">
      <alignment horizontal="right" vertical="center" wrapText="1"/>
    </xf>
    <xf numFmtId="0" fontId="33" fillId="10" borderId="11" xfId="0" applyFont="1" applyFill="1" applyBorder="1" applyAlignment="1" applyProtection="1">
      <alignment horizontal="right" vertical="center"/>
    </xf>
    <xf numFmtId="3" fontId="33" fillId="10" borderId="11" xfId="0" applyNumberFormat="1" applyFont="1" applyFill="1" applyBorder="1" applyAlignment="1" applyProtection="1">
      <alignment horizontal="right" vertical="center"/>
    </xf>
    <xf numFmtId="0" fontId="28" fillId="10" borderId="12" xfId="0" applyFont="1" applyFill="1" applyBorder="1" applyAlignment="1" applyProtection="1">
      <alignment horizontal="right" vertical="center"/>
    </xf>
    <xf numFmtId="3" fontId="28" fillId="10" borderId="12" xfId="0" applyNumberFormat="1" applyFont="1" applyFill="1" applyBorder="1" applyAlignment="1" applyProtection="1">
      <alignment horizontal="right" vertical="center"/>
    </xf>
    <xf numFmtId="1" fontId="29" fillId="10" borderId="11" xfId="0" applyNumberFormat="1" applyFont="1" applyFill="1" applyBorder="1" applyAlignment="1" applyProtection="1">
      <alignment horizontal="right" vertical="center" wrapText="1"/>
    </xf>
    <xf numFmtId="3" fontId="29" fillId="10" borderId="11" xfId="0" applyNumberFormat="1" applyFont="1" applyFill="1" applyBorder="1" applyAlignment="1" applyProtection="1">
      <alignment horizontal="right" vertical="center"/>
    </xf>
    <xf numFmtId="0" fontId="33" fillId="10" borderId="12" xfId="0" applyFont="1" applyFill="1" applyBorder="1" applyAlignment="1" applyProtection="1">
      <alignment horizontal="right" vertical="center"/>
    </xf>
    <xf numFmtId="0" fontId="57" fillId="10" borderId="11" xfId="0" applyFont="1" applyFill="1" applyBorder="1" applyAlignment="1" applyProtection="1">
      <alignment horizontal="center" vertical="center" wrapText="1"/>
      <protection locked="0"/>
    </xf>
    <xf numFmtId="0" fontId="67" fillId="10" borderId="12" xfId="0" applyFont="1" applyFill="1" applyBorder="1" applyAlignment="1" applyProtection="1">
      <alignment horizontal="right" vertical="center" wrapText="1"/>
      <protection locked="0"/>
    </xf>
    <xf numFmtId="9" fontId="67" fillId="10" borderId="12" xfId="0" applyNumberFormat="1" applyFont="1" applyFill="1" applyBorder="1" applyAlignment="1" applyProtection="1">
      <alignment horizontal="right" vertical="center" wrapText="1"/>
      <protection locked="0"/>
    </xf>
    <xf numFmtId="9" fontId="55" fillId="10" borderId="10" xfId="0" applyNumberFormat="1" applyFont="1" applyFill="1" applyBorder="1" applyAlignment="1" applyProtection="1">
      <alignment horizontal="right" vertical="center" wrapText="1"/>
      <protection locked="0"/>
    </xf>
    <xf numFmtId="0" fontId="55" fillId="10" borderId="10" xfId="0" applyFont="1" applyFill="1" applyBorder="1" applyAlignment="1" applyProtection="1">
      <alignment horizontal="right" vertical="center" wrapText="1"/>
      <protection locked="0"/>
    </xf>
    <xf numFmtId="0" fontId="55" fillId="10" borderId="11" xfId="0" applyFont="1" applyFill="1" applyBorder="1" applyAlignment="1" applyProtection="1">
      <alignment horizontal="right" vertical="center" wrapText="1"/>
      <protection locked="0"/>
    </xf>
    <xf numFmtId="0" fontId="58" fillId="10" borderId="12" xfId="0" applyFont="1" applyFill="1" applyBorder="1" applyAlignment="1" applyProtection="1">
      <alignment horizontal="right" vertical="center" wrapText="1"/>
      <protection locked="0"/>
    </xf>
    <xf numFmtId="9" fontId="58" fillId="10" borderId="12" xfId="0" applyNumberFormat="1" applyFont="1" applyFill="1" applyBorder="1" applyAlignment="1" applyProtection="1">
      <alignment horizontal="right" vertical="center" wrapText="1"/>
      <protection locked="0"/>
    </xf>
    <xf numFmtId="9" fontId="55" fillId="10" borderId="11" xfId="0" applyNumberFormat="1" applyFont="1" applyFill="1" applyBorder="1" applyAlignment="1" applyProtection="1">
      <alignment horizontal="right" vertical="center" wrapText="1"/>
      <protection locked="0"/>
    </xf>
    <xf numFmtId="0" fontId="55" fillId="10" borderId="12" xfId="0" applyFont="1" applyFill="1" applyBorder="1" applyAlignment="1" applyProtection="1">
      <alignment horizontal="right" vertical="center" wrapText="1"/>
      <protection locked="0"/>
    </xf>
    <xf numFmtId="9" fontId="55" fillId="10" borderId="12" xfId="0" applyNumberFormat="1" applyFont="1" applyFill="1" applyBorder="1" applyAlignment="1" applyProtection="1">
      <alignment horizontal="right" vertical="center" wrapText="1"/>
      <protection locked="0"/>
    </xf>
    <xf numFmtId="0" fontId="65" fillId="10" borderId="12" xfId="0" applyFont="1" applyFill="1" applyBorder="1" applyAlignment="1" applyProtection="1">
      <alignment horizontal="right" vertical="center" wrapText="1"/>
      <protection locked="0"/>
    </xf>
    <xf numFmtId="9" fontId="65" fillId="10" borderId="12" xfId="0" applyNumberFormat="1" applyFont="1" applyFill="1" applyBorder="1" applyAlignment="1" applyProtection="1">
      <alignment horizontal="right" vertical="center" wrapText="1"/>
      <protection locked="0"/>
    </xf>
    <xf numFmtId="0" fontId="69" fillId="0" borderId="0" xfId="0" applyFont="1" applyProtection="1">
      <protection locked="0"/>
    </xf>
    <xf numFmtId="0" fontId="0" fillId="8" borderId="0" xfId="0" applyFill="1" applyProtection="1">
      <protection locked="0"/>
    </xf>
    <xf numFmtId="0" fontId="0" fillId="8" borderId="11" xfId="0" applyFill="1" applyBorder="1" applyAlignment="1" applyProtection="1">
      <alignment horizontal="center" vertical="center" wrapText="1"/>
      <protection locked="0"/>
    </xf>
    <xf numFmtId="3" fontId="57" fillId="8" borderId="12" xfId="0" applyNumberFormat="1" applyFont="1" applyFill="1" applyBorder="1" applyAlignment="1" applyProtection="1">
      <alignment horizontal="right" vertical="center"/>
      <protection locked="0"/>
    </xf>
    <xf numFmtId="166" fontId="49" fillId="8" borderId="10" xfId="0" applyNumberFormat="1" applyFont="1" applyFill="1" applyBorder="1" applyAlignment="1" applyProtection="1">
      <alignment horizontal="right" vertical="center"/>
      <protection locked="0"/>
    </xf>
    <xf numFmtId="3" fontId="49" fillId="8" borderId="10" xfId="0" applyNumberFormat="1" applyFont="1" applyFill="1" applyBorder="1" applyAlignment="1" applyProtection="1">
      <alignment horizontal="right" vertical="center"/>
      <protection locked="0"/>
    </xf>
    <xf numFmtId="3" fontId="49" fillId="8" borderId="10" xfId="0" applyNumberFormat="1" applyFont="1" applyFill="1" applyBorder="1" applyAlignment="1" applyProtection="1">
      <alignment horizontal="right" vertical="center" wrapText="1"/>
      <protection locked="0"/>
    </xf>
    <xf numFmtId="3" fontId="49" fillId="8" borderId="11" xfId="0" applyNumberFormat="1" applyFont="1" applyFill="1" applyBorder="1" applyAlignment="1" applyProtection="1">
      <alignment horizontal="right" vertical="center"/>
      <protection locked="0"/>
    </xf>
    <xf numFmtId="4" fontId="49" fillId="8" borderId="10" xfId="0" applyNumberFormat="1" applyFont="1" applyFill="1" applyBorder="1" applyAlignment="1" applyProtection="1">
      <alignment horizontal="right" vertical="center"/>
      <protection locked="0"/>
    </xf>
    <xf numFmtId="4" fontId="49" fillId="8" borderId="11" xfId="0" applyNumberFormat="1" applyFont="1" applyFill="1" applyBorder="1" applyAlignment="1" applyProtection="1">
      <alignment horizontal="right" vertical="center"/>
      <protection locked="0"/>
    </xf>
    <xf numFmtId="3" fontId="66" fillId="8" borderId="12" xfId="0" applyNumberFormat="1" applyFont="1" applyFill="1" applyBorder="1" applyAlignment="1" applyProtection="1">
      <alignment horizontal="right" vertical="center"/>
      <protection locked="0"/>
    </xf>
    <xf numFmtId="0" fontId="0" fillId="0" borderId="0" xfId="0" applyProtection="1">
      <protection locked="0"/>
    </xf>
    <xf numFmtId="9" fontId="57" fillId="8" borderId="12" xfId="2" applyFont="1" applyFill="1" applyBorder="1" applyAlignment="1" applyProtection="1">
      <alignment horizontal="right" vertical="center"/>
      <protection locked="0"/>
    </xf>
    <xf numFmtId="9" fontId="49" fillId="8" borderId="10" xfId="2" applyFont="1" applyFill="1" applyBorder="1" applyAlignment="1" applyProtection="1">
      <alignment horizontal="right" vertical="center"/>
      <protection locked="0"/>
    </xf>
    <xf numFmtId="9" fontId="49" fillId="8" borderId="10" xfId="2" applyFont="1" applyFill="1" applyBorder="1" applyAlignment="1" applyProtection="1">
      <alignment horizontal="right" vertical="center" wrapText="1"/>
      <protection locked="0"/>
    </xf>
    <xf numFmtId="9" fontId="49" fillId="8" borderId="11" xfId="2" applyFont="1" applyFill="1" applyBorder="1" applyAlignment="1" applyProtection="1">
      <alignment horizontal="right" vertical="center"/>
      <protection locked="0"/>
    </xf>
    <xf numFmtId="9" fontId="66" fillId="8" borderId="12" xfId="2" applyFont="1" applyFill="1" applyBorder="1" applyAlignment="1" applyProtection="1">
      <alignment horizontal="right" vertical="center"/>
      <protection locked="0"/>
    </xf>
    <xf numFmtId="166" fontId="49" fillId="8" borderId="10" xfId="0" applyNumberFormat="1" applyFont="1" applyFill="1" applyBorder="1" applyAlignment="1" applyProtection="1">
      <alignment horizontal="right" vertical="center" wrapText="1"/>
      <protection locked="0"/>
    </xf>
    <xf numFmtId="4" fontId="49" fillId="8" borderId="10" xfId="0" applyNumberFormat="1" applyFont="1" applyFill="1" applyBorder="1" applyAlignment="1" applyProtection="1">
      <alignment horizontal="right" vertical="center" wrapText="1"/>
      <protection locked="0"/>
    </xf>
    <xf numFmtId="3" fontId="49" fillId="8" borderId="11" xfId="0" applyNumberFormat="1" applyFont="1" applyFill="1" applyBorder="1" applyAlignment="1" applyProtection="1">
      <alignment horizontal="right" vertical="center" wrapText="1"/>
      <protection locked="0"/>
    </xf>
    <xf numFmtId="4" fontId="49" fillId="8" borderId="11" xfId="0" applyNumberFormat="1" applyFont="1" applyFill="1" applyBorder="1" applyAlignment="1" applyProtection="1">
      <alignment horizontal="right" vertical="center" wrapText="1"/>
      <protection locked="0"/>
    </xf>
    <xf numFmtId="0" fontId="0" fillId="2" borderId="11" xfId="0" applyFill="1" applyBorder="1" applyAlignment="1" applyProtection="1">
      <alignment horizontal="center" vertical="center" wrapText="1"/>
      <protection locked="0"/>
    </xf>
    <xf numFmtId="3" fontId="66" fillId="2" borderId="12" xfId="0" applyNumberFormat="1" applyFont="1" applyFill="1" applyBorder="1" applyAlignment="1" applyProtection="1">
      <alignment horizontal="right" vertical="center"/>
      <protection locked="0"/>
    </xf>
    <xf numFmtId="3" fontId="49" fillId="2" borderId="10" xfId="0" applyNumberFormat="1" applyFont="1" applyFill="1" applyBorder="1" applyAlignment="1" applyProtection="1">
      <alignment vertical="center"/>
      <protection locked="0"/>
    </xf>
    <xf numFmtId="3" fontId="49" fillId="2" borderId="11" xfId="0" applyNumberFormat="1" applyFont="1" applyFill="1" applyBorder="1" applyAlignment="1" applyProtection="1">
      <alignment vertical="center"/>
      <protection locked="0"/>
    </xf>
    <xf numFmtId="3" fontId="49" fillId="2" borderId="10" xfId="0" applyNumberFormat="1" applyFont="1" applyFill="1" applyBorder="1" applyProtection="1">
      <protection locked="0"/>
    </xf>
    <xf numFmtId="3" fontId="49" fillId="2" borderId="11" xfId="0" applyNumberFormat="1" applyFont="1" applyFill="1" applyBorder="1" applyProtection="1">
      <protection locked="0"/>
    </xf>
    <xf numFmtId="3" fontId="66" fillId="2" borderId="14" xfId="0" applyNumberFormat="1" applyFont="1" applyFill="1" applyBorder="1" applyAlignment="1" applyProtection="1">
      <alignment horizontal="right" vertical="center"/>
      <protection locked="0"/>
    </xf>
    <xf numFmtId="0" fontId="41" fillId="2" borderId="0" xfId="0" applyFont="1" applyFill="1" applyProtection="1">
      <protection locked="0"/>
    </xf>
    <xf numFmtId="3" fontId="49" fillId="2" borderId="12" xfId="0" applyNumberFormat="1" applyFont="1" applyFill="1" applyBorder="1" applyAlignment="1" applyProtection="1">
      <alignment horizontal="right" vertical="center"/>
      <protection locked="0"/>
    </xf>
    <xf numFmtId="3" fontId="49" fillId="2" borderId="14" xfId="0" applyNumberFormat="1" applyFont="1" applyFill="1" applyBorder="1" applyAlignment="1" applyProtection="1">
      <alignment horizontal="right" vertical="center"/>
      <protection locked="0"/>
    </xf>
    <xf numFmtId="3" fontId="49" fillId="2" borderId="10" xfId="0" applyNumberFormat="1" applyFont="1" applyFill="1" applyBorder="1" applyAlignment="1" applyProtection="1">
      <alignment vertical="center" wrapText="1"/>
      <protection locked="0"/>
    </xf>
    <xf numFmtId="3" fontId="49" fillId="2" borderId="11" xfId="0" applyNumberFormat="1" applyFont="1" applyFill="1" applyBorder="1" applyAlignment="1" applyProtection="1">
      <alignment vertical="center" wrapText="1"/>
      <protection locked="0"/>
    </xf>
    <xf numFmtId="0" fontId="0" fillId="7" borderId="0" xfId="0" applyFill="1" applyProtection="1">
      <protection locked="0"/>
    </xf>
    <xf numFmtId="0" fontId="0" fillId="7" borderId="11" xfId="0" applyFill="1" applyBorder="1" applyAlignment="1" applyProtection="1">
      <alignment horizontal="center" vertical="center" wrapText="1"/>
      <protection locked="0"/>
    </xf>
    <xf numFmtId="0" fontId="0" fillId="7" borderId="12" xfId="0" applyFill="1" applyBorder="1" applyAlignment="1" applyProtection="1">
      <alignment horizontal="right" vertical="center"/>
      <protection locked="0"/>
    </xf>
    <xf numFmtId="0" fontId="29" fillId="7" borderId="10" xfId="0" applyFont="1" applyFill="1" applyBorder="1" applyAlignment="1" applyProtection="1">
      <alignment horizontal="right" vertical="center"/>
      <protection locked="0"/>
    </xf>
    <xf numFmtId="0" fontId="29" fillId="7" borderId="10" xfId="0" applyFont="1" applyFill="1" applyBorder="1" applyAlignment="1" applyProtection="1">
      <alignment vertical="center"/>
      <protection locked="0"/>
    </xf>
    <xf numFmtId="0" fontId="33" fillId="7" borderId="11" xfId="0" applyFont="1" applyFill="1" applyBorder="1" applyAlignment="1" applyProtection="1">
      <alignment vertical="center"/>
      <protection locked="0"/>
    </xf>
    <xf numFmtId="0" fontId="28" fillId="7" borderId="12" xfId="0" applyFont="1" applyFill="1" applyBorder="1" applyAlignment="1" applyProtection="1">
      <alignment horizontal="right" vertical="center"/>
      <protection locked="0"/>
    </xf>
    <xf numFmtId="0" fontId="29" fillId="7" borderId="12" xfId="0" applyFont="1" applyFill="1" applyBorder="1" applyAlignment="1" applyProtection="1">
      <alignment horizontal="right" vertical="center"/>
      <protection locked="0"/>
    </xf>
    <xf numFmtId="0" fontId="29" fillId="7" borderId="12" xfId="0" applyFont="1" applyFill="1" applyBorder="1" applyAlignment="1" applyProtection="1">
      <alignment vertical="center"/>
      <protection locked="0"/>
    </xf>
    <xf numFmtId="0" fontId="29" fillId="7" borderId="11" xfId="0" applyFont="1" applyFill="1" applyBorder="1" applyAlignment="1" applyProtection="1">
      <alignment vertical="center"/>
      <protection locked="0"/>
    </xf>
    <xf numFmtId="0" fontId="28" fillId="7" borderId="12" xfId="0" applyFont="1" applyFill="1" applyBorder="1" applyAlignment="1" applyProtection="1">
      <alignment vertical="center"/>
      <protection locked="0"/>
    </xf>
    <xf numFmtId="49" fontId="0" fillId="0" borderId="0" xfId="0" applyNumberFormat="1"/>
    <xf numFmtId="49" fontId="0" fillId="0" borderId="18" xfId="0" applyNumberFormat="1" applyBorder="1"/>
    <xf numFmtId="0" fontId="0" fillId="0" borderId="18" xfId="0" applyBorder="1" applyAlignment="1">
      <alignment horizontal="right"/>
    </xf>
    <xf numFmtId="0" fontId="0" fillId="0" borderId="15" xfId="0" applyBorder="1" applyAlignment="1">
      <alignment horizontal="right" wrapText="1"/>
    </xf>
    <xf numFmtId="1" fontId="0" fillId="0" borderId="0" xfId="0" applyNumberFormat="1"/>
    <xf numFmtId="0" fontId="0" fillId="12" borderId="15" xfId="0" applyFill="1" applyBorder="1" applyAlignment="1">
      <alignment wrapText="1"/>
    </xf>
    <xf numFmtId="49" fontId="0" fillId="8" borderId="17" xfId="0" applyNumberFormat="1" applyFill="1" applyBorder="1"/>
    <xf numFmtId="0" fontId="0" fillId="8" borderId="19" xfId="0" applyFill="1" applyBorder="1" applyAlignment="1">
      <alignment wrapText="1"/>
    </xf>
    <xf numFmtId="49" fontId="0" fillId="7" borderId="5" xfId="0" applyNumberFormat="1" applyFill="1" applyBorder="1" applyAlignment="1">
      <alignment horizontal="center"/>
    </xf>
    <xf numFmtId="0" fontId="33" fillId="7" borderId="5" xfId="0" applyFont="1" applyFill="1" applyBorder="1" applyAlignment="1">
      <alignment horizontal="left" vertical="center" wrapText="1"/>
    </xf>
    <xf numFmtId="0" fontId="0" fillId="7" borderId="5" xfId="0" applyFill="1" applyBorder="1" applyAlignment="1">
      <alignment wrapText="1"/>
    </xf>
    <xf numFmtId="49" fontId="0" fillId="2" borderId="5" xfId="0" applyNumberFormat="1" applyFill="1" applyBorder="1" applyAlignment="1">
      <alignment horizontal="center"/>
    </xf>
    <xf numFmtId="0" fontId="0" fillId="2" borderId="5" xfId="0" applyFill="1" applyBorder="1"/>
    <xf numFmtId="0" fontId="0" fillId="2" borderId="28" xfId="0" applyFill="1" applyBorder="1" applyAlignment="1">
      <alignment horizontal="center" vertical="center" wrapText="1"/>
    </xf>
    <xf numFmtId="3" fontId="29" fillId="2" borderId="29" xfId="0" applyNumberFormat="1" applyFont="1" applyFill="1" applyBorder="1" applyAlignment="1">
      <alignment horizontal="right" vertical="center"/>
    </xf>
    <xf numFmtId="0" fontId="0" fillId="2" borderId="30" xfId="0" applyFill="1" applyBorder="1" applyAlignment="1" applyProtection="1">
      <alignment horizontal="center" vertical="center" wrapText="1"/>
      <protection locked="0"/>
    </xf>
    <xf numFmtId="3" fontId="49" fillId="2" borderId="31" xfId="0" applyNumberFormat="1" applyFont="1" applyFill="1" applyBorder="1" applyAlignment="1" applyProtection="1">
      <alignment horizontal="right" vertical="center"/>
      <protection locked="0"/>
    </xf>
    <xf numFmtId="0" fontId="1" fillId="13" borderId="5" xfId="0" applyFont="1" applyFill="1" applyBorder="1"/>
    <xf numFmtId="3" fontId="49" fillId="2" borderId="32" xfId="0" applyNumberFormat="1" applyFont="1" applyFill="1" applyBorder="1" applyAlignment="1" applyProtection="1">
      <alignment vertical="center" wrapText="1"/>
      <protection locked="0"/>
    </xf>
    <xf numFmtId="3" fontId="29" fillId="2" borderId="32" xfId="0" applyNumberFormat="1" applyFont="1" applyFill="1" applyBorder="1" applyAlignment="1">
      <alignment vertical="center" wrapText="1"/>
    </xf>
    <xf numFmtId="3" fontId="49" fillId="2" borderId="32" xfId="0" applyNumberFormat="1" applyFont="1" applyFill="1" applyBorder="1" applyProtection="1">
      <protection locked="0"/>
    </xf>
    <xf numFmtId="3" fontId="29" fillId="2" borderId="32" xfId="0" applyNumberFormat="1" applyFont="1" applyFill="1" applyBorder="1"/>
    <xf numFmtId="0" fontId="0" fillId="14" borderId="33" xfId="0" applyFill="1" applyBorder="1" applyAlignment="1" applyProtection="1">
      <alignment horizontal="center" vertical="center" wrapText="1"/>
      <protection locked="0"/>
    </xf>
    <xf numFmtId="0" fontId="37" fillId="14" borderId="34" xfId="0" applyFont="1" applyFill="1" applyBorder="1" applyAlignment="1">
      <alignment horizontal="center" vertical="center" wrapText="1"/>
    </xf>
    <xf numFmtId="3" fontId="49" fillId="14" borderId="35" xfId="0" applyNumberFormat="1" applyFont="1" applyFill="1" applyBorder="1" applyAlignment="1" applyProtection="1">
      <alignment horizontal="right" vertical="center"/>
      <protection locked="0"/>
    </xf>
    <xf numFmtId="3" fontId="26" fillId="14" borderId="36" xfId="0" applyNumberFormat="1" applyFont="1" applyFill="1" applyBorder="1" applyAlignment="1">
      <alignment horizontal="right" vertical="center"/>
    </xf>
    <xf numFmtId="3" fontId="49" fillId="14" borderId="37" xfId="0" applyNumberFormat="1" applyFont="1" applyFill="1" applyBorder="1" applyAlignment="1" applyProtection="1">
      <alignment horizontal="right" vertical="center"/>
      <protection locked="0"/>
    </xf>
    <xf numFmtId="3" fontId="26" fillId="14" borderId="38" xfId="0" applyNumberFormat="1" applyFont="1" applyFill="1" applyBorder="1" applyAlignment="1">
      <alignment horizontal="right" vertical="center"/>
    </xf>
    <xf numFmtId="0" fontId="0" fillId="2" borderId="0" xfId="0" applyFill="1" applyAlignment="1">
      <alignment wrapText="1"/>
    </xf>
    <xf numFmtId="0" fontId="0" fillId="2" borderId="0" xfId="0" applyFill="1" applyAlignment="1">
      <alignment horizontal="center" wrapText="1"/>
    </xf>
    <xf numFmtId="0" fontId="0" fillId="14" borderId="0" xfId="0" applyFill="1" applyAlignment="1" applyProtection="1">
      <alignment horizontal="center" vertical="center"/>
      <protection locked="0"/>
    </xf>
    <xf numFmtId="0" fontId="1" fillId="2" borderId="6" xfId="0" applyFont="1" applyFill="1" applyBorder="1" applyAlignment="1">
      <alignment horizontal="center" vertical="center"/>
    </xf>
    <xf numFmtId="16" fontId="2" fillId="0" borderId="3" xfId="0" quotePrefix="1" applyNumberFormat="1" applyFont="1" applyBorder="1" applyAlignment="1">
      <alignment horizontal="center" vertical="center" wrapText="1"/>
    </xf>
    <xf numFmtId="0" fontId="2" fillId="4" borderId="2" xfId="0" applyFont="1" applyFill="1" applyBorder="1" applyAlignment="1">
      <alignment horizontal="center" vertical="center" wrapText="1"/>
    </xf>
    <xf numFmtId="0" fontId="0" fillId="3" borderId="2" xfId="0" applyFill="1" applyBorder="1" applyAlignment="1">
      <alignment horizontal="center" vertical="center"/>
    </xf>
    <xf numFmtId="16" fontId="1" fillId="13" borderId="22" xfId="0" quotePrefix="1" applyNumberFormat="1" applyFont="1" applyFill="1" applyBorder="1" applyAlignment="1">
      <alignment horizontal="center"/>
    </xf>
    <xf numFmtId="0" fontId="1" fillId="0" borderId="0" xfId="0" applyFont="1"/>
    <xf numFmtId="3" fontId="49" fillId="15" borderId="37" xfId="0" applyNumberFormat="1" applyFont="1" applyFill="1" applyBorder="1" applyAlignment="1" applyProtection="1">
      <alignment horizontal="right" vertical="center"/>
      <protection locked="0"/>
    </xf>
    <xf numFmtId="0" fontId="1" fillId="13" borderId="21" xfId="0" applyFont="1" applyFill="1" applyBorder="1"/>
    <xf numFmtId="0" fontId="0" fillId="0" borderId="0" xfId="0" applyBorder="1" applyAlignment="1">
      <alignment horizontal="right" wrapText="1"/>
    </xf>
    <xf numFmtId="0" fontId="0" fillId="0" borderId="0" xfId="0" applyBorder="1" applyAlignment="1">
      <alignment wrapText="1"/>
    </xf>
    <xf numFmtId="0" fontId="0" fillId="8" borderId="17" xfId="0" applyFill="1" applyBorder="1" applyAlignment="1">
      <alignment wrapText="1"/>
    </xf>
    <xf numFmtId="0" fontId="29" fillId="7" borderId="5" xfId="0" applyFont="1" applyFill="1" applyBorder="1" applyAlignment="1">
      <alignment wrapText="1"/>
    </xf>
    <xf numFmtId="0" fontId="29" fillId="12" borderId="0" xfId="0" applyFont="1" applyFill="1" applyBorder="1" applyAlignment="1">
      <alignment wrapText="1"/>
    </xf>
    <xf numFmtId="0" fontId="29" fillId="0" borderId="0" xfId="0" applyFont="1" applyFill="1" applyBorder="1" applyAlignment="1">
      <alignment wrapText="1"/>
    </xf>
    <xf numFmtId="0" fontId="29" fillId="0" borderId="0" xfId="0" applyFont="1" applyBorder="1" applyAlignment="1">
      <alignment wrapText="1"/>
    </xf>
    <xf numFmtId="168" fontId="1" fillId="0" borderId="0" xfId="0" applyNumberFormat="1" applyFont="1" applyAlignment="1">
      <alignment horizontal="center" wrapText="1"/>
    </xf>
    <xf numFmtId="168" fontId="1" fillId="13" borderId="5" xfId="0" applyNumberFormat="1" applyFont="1" applyFill="1" applyBorder="1" applyAlignment="1">
      <alignment horizontal="center"/>
    </xf>
    <xf numFmtId="168" fontId="0" fillId="7" borderId="5" xfId="0" applyNumberFormat="1" applyFont="1" applyFill="1" applyBorder="1" applyAlignment="1">
      <alignment horizontal="center" vertical="center"/>
    </xf>
    <xf numFmtId="168" fontId="1" fillId="0" borderId="20" xfId="0" applyNumberFormat="1" applyFont="1" applyBorder="1" applyAlignment="1">
      <alignment horizontal="center"/>
    </xf>
    <xf numFmtId="168" fontId="35" fillId="0" borderId="0" xfId="0" applyNumberFormat="1" applyFont="1"/>
    <xf numFmtId="168" fontId="0" fillId="0" borderId="0" xfId="0" applyNumberFormat="1"/>
    <xf numFmtId="168" fontId="1" fillId="0" borderId="18" xfId="0" applyNumberFormat="1" applyFont="1" applyBorder="1" applyAlignment="1">
      <alignment horizontal="center"/>
    </xf>
    <xf numFmtId="168" fontId="0" fillId="0" borderId="0" xfId="0" applyNumberFormat="1" applyAlignment="1">
      <alignment horizontal="center"/>
    </xf>
    <xf numFmtId="168" fontId="1" fillId="8" borderId="17" xfId="0" applyNumberFormat="1" applyFont="1" applyFill="1" applyBorder="1" applyAlignment="1">
      <alignment horizontal="center"/>
    </xf>
    <xf numFmtId="168" fontId="1" fillId="0" borderId="0" xfId="0" applyNumberFormat="1" applyFont="1" applyAlignment="1">
      <alignment horizontal="center"/>
    </xf>
    <xf numFmtId="168" fontId="0" fillId="0" borderId="16" xfId="0" applyNumberFormat="1" applyBorder="1" applyAlignment="1">
      <alignment horizontal="center"/>
    </xf>
    <xf numFmtId="168" fontId="0" fillId="0" borderId="0" xfId="0" applyNumberFormat="1" applyBorder="1" applyAlignment="1">
      <alignment horizontal="center"/>
    </xf>
    <xf numFmtId="168" fontId="1" fillId="2" borderId="8" xfId="0" applyNumberFormat="1" applyFont="1" applyFill="1" applyBorder="1" applyAlignment="1">
      <alignment horizontal="center"/>
    </xf>
    <xf numFmtId="168" fontId="1" fillId="7" borderId="5" xfId="0" applyNumberFormat="1" applyFont="1" applyFill="1" applyBorder="1" applyAlignment="1">
      <alignment horizontal="center"/>
    </xf>
    <xf numFmtId="168" fontId="0" fillId="0" borderId="18" xfId="0" applyNumberFormat="1" applyBorder="1" applyAlignment="1">
      <alignment horizontal="center"/>
    </xf>
    <xf numFmtId="168" fontId="1" fillId="7" borderId="23" xfId="0" applyNumberFormat="1" applyFont="1" applyFill="1" applyBorder="1" applyAlignment="1">
      <alignment horizontal="center"/>
    </xf>
    <xf numFmtId="168" fontId="0" fillId="0" borderId="24" xfId="0" applyNumberFormat="1" applyFill="1" applyBorder="1" applyAlignment="1">
      <alignment horizontal="center" vertical="center"/>
    </xf>
    <xf numFmtId="168" fontId="0" fillId="0" borderId="18" xfId="0" applyNumberFormat="1" applyBorder="1"/>
    <xf numFmtId="168" fontId="0" fillId="0" borderId="0" xfId="0" applyNumberFormat="1" applyFill="1"/>
    <xf numFmtId="168" fontId="0" fillId="0" borderId="22" xfId="0" applyNumberFormat="1" applyFill="1" applyBorder="1" applyAlignment="1">
      <alignment horizontal="center" textRotation="90"/>
    </xf>
    <xf numFmtId="168" fontId="0" fillId="0" borderId="16" xfId="0" applyNumberFormat="1" applyFill="1" applyBorder="1" applyAlignment="1">
      <alignment horizontal="center" textRotation="90"/>
    </xf>
    <xf numFmtId="168" fontId="1" fillId="0" borderId="16" xfId="0" applyNumberFormat="1" applyFont="1" applyFill="1" applyBorder="1" applyAlignment="1">
      <alignment horizontal="center" textRotation="90"/>
    </xf>
    <xf numFmtId="168" fontId="1" fillId="0" borderId="21" xfId="0" applyNumberFormat="1" applyFont="1" applyFill="1" applyBorder="1" applyAlignment="1">
      <alignment horizontal="center" textRotation="90"/>
    </xf>
    <xf numFmtId="168" fontId="0" fillId="0" borderId="24" xfId="0" applyNumberFormat="1" applyFill="1" applyBorder="1" applyAlignment="1">
      <alignment horizontal="center"/>
    </xf>
    <xf numFmtId="168" fontId="1" fillId="8" borderId="25" xfId="0" applyNumberFormat="1" applyFont="1" applyFill="1" applyBorder="1" applyAlignment="1">
      <alignment horizontal="center"/>
    </xf>
    <xf numFmtId="168" fontId="1" fillId="8" borderId="8" xfId="0" applyNumberFormat="1" applyFont="1" applyFill="1" applyBorder="1" applyAlignment="1">
      <alignment horizontal="center"/>
    </xf>
    <xf numFmtId="168" fontId="77" fillId="0" borderId="0" xfId="0" applyNumberFormat="1" applyFont="1" applyAlignment="1">
      <alignment horizontal="center"/>
    </xf>
    <xf numFmtId="168" fontId="1" fillId="2" borderId="26" xfId="0" applyNumberFormat="1" applyFont="1" applyFill="1" applyBorder="1" applyAlignment="1">
      <alignment horizontal="center"/>
    </xf>
    <xf numFmtId="168" fontId="0" fillId="0" borderId="0" xfId="0" applyNumberFormat="1" applyFill="1" applyBorder="1" applyAlignment="1">
      <alignment horizontal="center" vertical="center"/>
    </xf>
    <xf numFmtId="168" fontId="77" fillId="0" borderId="0" xfId="0" applyNumberFormat="1" applyFont="1" applyFill="1"/>
    <xf numFmtId="168" fontId="0" fillId="5" borderId="25" xfId="0" applyNumberFormat="1" applyFill="1" applyBorder="1" applyAlignment="1">
      <alignment horizontal="center" vertical="center"/>
    </xf>
    <xf numFmtId="16" fontId="1" fillId="13" borderId="27" xfId="0" quotePrefix="1" applyNumberFormat="1" applyFont="1" applyFill="1" applyBorder="1" applyAlignment="1">
      <alignment horizontal="center"/>
    </xf>
    <xf numFmtId="0" fontId="1" fillId="13" borderId="23" xfId="0" applyFont="1" applyFill="1" applyBorder="1"/>
    <xf numFmtId="0" fontId="1" fillId="13" borderId="20" xfId="0" applyFont="1" applyFill="1" applyBorder="1"/>
    <xf numFmtId="168" fontId="1" fillId="13" borderId="23" xfId="0" applyNumberFormat="1" applyFont="1" applyFill="1" applyBorder="1" applyAlignment="1">
      <alignment horizontal="center"/>
    </xf>
    <xf numFmtId="0" fontId="1" fillId="13" borderId="40" xfId="0" applyFont="1" applyFill="1" applyBorder="1" applyAlignment="1">
      <alignment horizontal="center"/>
    </xf>
    <xf numFmtId="0" fontId="1" fillId="13" borderId="41" xfId="0" applyFont="1" applyFill="1" applyBorder="1"/>
    <xf numFmtId="0" fontId="1" fillId="13" borderId="42" xfId="0" applyFont="1" applyFill="1" applyBorder="1"/>
    <xf numFmtId="168" fontId="1" fillId="13" borderId="41" xfId="0" applyNumberFormat="1" applyFont="1" applyFill="1" applyBorder="1" applyAlignment="1">
      <alignment horizontal="center"/>
    </xf>
    <xf numFmtId="16" fontId="1" fillId="13" borderId="45" xfId="0" quotePrefix="1" applyNumberFormat="1" applyFont="1" applyFill="1" applyBorder="1" applyAlignment="1">
      <alignment horizontal="center"/>
    </xf>
    <xf numFmtId="0" fontId="1" fillId="13" borderId="6" xfId="0" applyFont="1" applyFill="1" applyBorder="1"/>
    <xf numFmtId="0" fontId="1" fillId="13" borderId="46" xfId="0" applyFont="1" applyFill="1" applyBorder="1"/>
    <xf numFmtId="168" fontId="1" fillId="13" borderId="6" xfId="0" applyNumberFormat="1" applyFont="1" applyFill="1" applyBorder="1" applyAlignment="1">
      <alignment horizontal="center"/>
    </xf>
    <xf numFmtId="168" fontId="0" fillId="0" borderId="39" xfId="0" applyNumberFormat="1" applyBorder="1" applyAlignment="1">
      <alignment horizontal="center"/>
    </xf>
    <xf numFmtId="49" fontId="0" fillId="2" borderId="23" xfId="0" applyNumberFormat="1" applyFill="1" applyBorder="1" applyAlignment="1">
      <alignment horizontal="center"/>
    </xf>
    <xf numFmtId="0" fontId="0" fillId="2" borderId="23" xfId="0" applyFill="1" applyBorder="1"/>
    <xf numFmtId="49" fontId="1" fillId="2" borderId="40" xfId="0" applyNumberFormat="1" applyFont="1" applyFill="1" applyBorder="1" applyAlignment="1">
      <alignment horizontal="center"/>
    </xf>
    <xf numFmtId="0" fontId="1" fillId="2" borderId="41" xfId="0" applyFont="1" applyFill="1" applyBorder="1"/>
    <xf numFmtId="168" fontId="1" fillId="0" borderId="41" xfId="0" applyNumberFormat="1" applyFont="1" applyFill="1" applyBorder="1" applyAlignment="1">
      <alignment horizontal="center"/>
    </xf>
    <xf numFmtId="168" fontId="0" fillId="0" borderId="43" xfId="0" applyNumberFormat="1" applyFill="1" applyBorder="1" applyAlignment="1">
      <alignment horizontal="center"/>
    </xf>
    <xf numFmtId="49" fontId="0" fillId="2" borderId="6" xfId="0" applyNumberFormat="1" applyFill="1" applyBorder="1" applyAlignment="1">
      <alignment horizontal="center"/>
    </xf>
    <xf numFmtId="0" fontId="0" fillId="2" borderId="6" xfId="0" applyFill="1" applyBorder="1"/>
    <xf numFmtId="49" fontId="1" fillId="7" borderId="40" xfId="0" applyNumberFormat="1" applyFont="1" applyFill="1" applyBorder="1" applyAlignment="1">
      <alignment horizontal="center"/>
    </xf>
    <xf numFmtId="0" fontId="1" fillId="7" borderId="41" xfId="0" applyFont="1" applyFill="1" applyBorder="1"/>
    <xf numFmtId="0" fontId="1" fillId="7" borderId="42" xfId="0" applyFont="1" applyFill="1" applyBorder="1"/>
    <xf numFmtId="168" fontId="1" fillId="7" borderId="48" xfId="0" applyNumberFormat="1" applyFont="1" applyFill="1" applyBorder="1" applyAlignment="1">
      <alignment horizontal="center"/>
    </xf>
    <xf numFmtId="168" fontId="1" fillId="7" borderId="44" xfId="0" applyNumberFormat="1" applyFont="1" applyFill="1" applyBorder="1" applyAlignment="1">
      <alignment horizontal="center"/>
    </xf>
    <xf numFmtId="0" fontId="0" fillId="7" borderId="6" xfId="0" applyFill="1" applyBorder="1" applyAlignment="1">
      <alignment wrapText="1"/>
    </xf>
    <xf numFmtId="0" fontId="29" fillId="7" borderId="6" xfId="0" applyFont="1" applyFill="1" applyBorder="1" applyAlignment="1">
      <alignment wrapText="1"/>
    </xf>
    <xf numFmtId="168" fontId="1" fillId="7" borderId="6" xfId="0" applyNumberFormat="1" applyFont="1" applyFill="1" applyBorder="1" applyAlignment="1">
      <alignment horizontal="center"/>
    </xf>
    <xf numFmtId="49" fontId="0" fillId="5" borderId="23" xfId="0" applyNumberFormat="1" applyFill="1" applyBorder="1"/>
    <xf numFmtId="0" fontId="0" fillId="5" borderId="23" xfId="0" applyFill="1" applyBorder="1" applyAlignment="1">
      <alignment wrapText="1"/>
    </xf>
    <xf numFmtId="168" fontId="0" fillId="5" borderId="23" xfId="0" applyNumberFormat="1" applyFill="1" applyBorder="1" applyAlignment="1">
      <alignment horizontal="center" vertical="center"/>
    </xf>
    <xf numFmtId="49" fontId="1" fillId="5" borderId="49" xfId="0" applyNumberFormat="1" applyFont="1" applyFill="1" applyBorder="1"/>
    <xf numFmtId="0" fontId="1" fillId="5" borderId="41" xfId="0" applyFont="1" applyFill="1" applyBorder="1" applyAlignment="1">
      <alignment wrapText="1"/>
    </xf>
    <xf numFmtId="168" fontId="1" fillId="0" borderId="43" xfId="0" applyNumberFormat="1" applyFont="1" applyBorder="1" applyAlignment="1">
      <alignment horizontal="center"/>
    </xf>
    <xf numFmtId="168" fontId="1" fillId="5" borderId="41" xfId="0" applyNumberFormat="1" applyFont="1" applyFill="1" applyBorder="1" applyAlignment="1">
      <alignment horizontal="center" vertical="center"/>
    </xf>
    <xf numFmtId="0" fontId="29" fillId="5" borderId="41" xfId="0" applyFont="1" applyFill="1" applyBorder="1" applyAlignment="1">
      <alignment wrapText="1"/>
    </xf>
    <xf numFmtId="0" fontId="29" fillId="5" borderId="23" xfId="0" applyFont="1" applyFill="1" applyBorder="1" applyAlignment="1">
      <alignment wrapText="1"/>
    </xf>
    <xf numFmtId="168" fontId="1" fillId="2" borderId="41" xfId="0" applyNumberFormat="1" applyFont="1" applyFill="1" applyBorder="1" applyAlignment="1">
      <alignment horizontal="center"/>
    </xf>
    <xf numFmtId="168" fontId="1" fillId="2" borderId="50" xfId="0" applyNumberFormat="1" applyFont="1" applyFill="1" applyBorder="1" applyAlignment="1">
      <alignment horizontal="center"/>
    </xf>
    <xf numFmtId="168" fontId="1" fillId="2" borderId="51" xfId="0" applyNumberFormat="1" applyFont="1" applyFill="1" applyBorder="1" applyAlignment="1">
      <alignment horizontal="center"/>
    </xf>
    <xf numFmtId="168" fontId="1" fillId="5" borderId="53" xfId="0" applyNumberFormat="1" applyFont="1" applyFill="1" applyBorder="1" applyAlignment="1">
      <alignment horizontal="center" vertical="center"/>
    </xf>
    <xf numFmtId="168" fontId="0" fillId="7" borderId="52" xfId="0" applyNumberFormat="1" applyFont="1" applyFill="1" applyBorder="1" applyAlignment="1">
      <alignment horizontal="center" vertical="center"/>
    </xf>
    <xf numFmtId="168" fontId="0" fillId="5" borderId="23" xfId="0" applyNumberFormat="1" applyFont="1" applyFill="1" applyBorder="1" applyAlignment="1">
      <alignment horizontal="center"/>
    </xf>
    <xf numFmtId="0" fontId="0" fillId="0" borderId="54" xfId="0" applyBorder="1" applyAlignment="1">
      <alignment horizontal="right" wrapText="1"/>
    </xf>
    <xf numFmtId="0" fontId="0" fillId="0" borderId="55" xfId="0" applyBorder="1" applyAlignment="1">
      <alignment horizontal="right" wrapText="1"/>
    </xf>
    <xf numFmtId="168" fontId="0" fillId="5" borderId="8" xfId="0" applyNumberFormat="1" applyFill="1" applyBorder="1" applyAlignment="1">
      <alignment horizontal="center" vertical="center"/>
    </xf>
    <xf numFmtId="168" fontId="0" fillId="0" borderId="56" xfId="0" applyNumberFormat="1" applyFill="1" applyBorder="1" applyAlignment="1">
      <alignment horizontal="center" vertical="center"/>
    </xf>
    <xf numFmtId="168" fontId="0" fillId="0" borderId="57" xfId="0" applyNumberFormat="1" applyFill="1" applyBorder="1" applyAlignment="1">
      <alignment horizontal="center" vertical="center"/>
    </xf>
    <xf numFmtId="49" fontId="0" fillId="5" borderId="25" xfId="0" applyNumberFormat="1" applyFill="1" applyBorder="1"/>
    <xf numFmtId="0" fontId="0" fillId="5" borderId="25" xfId="0" applyFill="1" applyBorder="1" applyAlignment="1">
      <alignment wrapText="1"/>
    </xf>
    <xf numFmtId="0" fontId="29" fillId="5" borderId="25" xfId="0" applyFont="1" applyFill="1" applyBorder="1" applyAlignment="1">
      <alignment wrapText="1"/>
    </xf>
    <xf numFmtId="168" fontId="0" fillId="5" borderId="25" xfId="0" applyNumberFormat="1" applyFont="1" applyFill="1" applyBorder="1" applyAlignment="1">
      <alignment horizontal="center"/>
    </xf>
    <xf numFmtId="0" fontId="0" fillId="0" borderId="0" xfId="0" applyFill="1" applyBorder="1" applyAlignment="1">
      <alignment horizontal="right" wrapText="1"/>
    </xf>
    <xf numFmtId="168" fontId="35" fillId="0" borderId="18" xfId="0" applyNumberFormat="1" applyFont="1" applyFill="1" applyBorder="1" applyAlignment="1">
      <alignment horizontal="center"/>
    </xf>
    <xf numFmtId="168" fontId="35" fillId="0" borderId="16" xfId="0" applyNumberFormat="1" applyFont="1" applyFill="1" applyBorder="1" applyAlignment="1">
      <alignment horizontal="center"/>
    </xf>
    <xf numFmtId="168" fontId="79" fillId="0" borderId="6" xfId="0" applyNumberFormat="1" applyFont="1" applyBorder="1" applyAlignment="1">
      <alignment horizontal="center" textRotation="45"/>
    </xf>
    <xf numFmtId="168" fontId="80" fillId="0" borderId="6" xfId="0" applyNumberFormat="1" applyFont="1" applyBorder="1" applyAlignment="1">
      <alignment horizontal="center" textRotation="45"/>
    </xf>
    <xf numFmtId="168" fontId="1" fillId="0" borderId="44" xfId="0" applyNumberFormat="1" applyFont="1" applyFill="1" applyBorder="1" applyAlignment="1">
      <alignment horizontal="center"/>
    </xf>
    <xf numFmtId="168" fontId="1" fillId="0" borderId="43" xfId="0" applyNumberFormat="1" applyFont="1" applyBorder="1" applyAlignment="1">
      <alignment horizontal="center" vertical="center"/>
    </xf>
    <xf numFmtId="168" fontId="1" fillId="0" borderId="0" xfId="0" applyNumberFormat="1" applyFont="1" applyAlignment="1">
      <alignment horizontal="right"/>
    </xf>
    <xf numFmtId="168" fontId="34" fillId="0" borderId="0" xfId="0" applyNumberFormat="1" applyFont="1" applyAlignment="1">
      <alignment horizontal="center"/>
    </xf>
    <xf numFmtId="168" fontId="34" fillId="0" borderId="0" xfId="0" applyNumberFormat="1" applyFont="1" applyAlignment="1">
      <alignment horizontal="right"/>
    </xf>
    <xf numFmtId="168" fontId="77" fillId="0" borderId="18" xfId="0" applyNumberFormat="1" applyFont="1" applyBorder="1" applyAlignment="1">
      <alignment horizontal="center"/>
    </xf>
    <xf numFmtId="168" fontId="1" fillId="0" borderId="16" xfId="0" applyNumberFormat="1" applyFont="1" applyBorder="1" applyAlignment="1">
      <alignment horizontal="center"/>
    </xf>
    <xf numFmtId="168" fontId="1" fillId="0" borderId="24" xfId="0" applyNumberFormat="1" applyFont="1" applyBorder="1" applyAlignment="1">
      <alignment horizontal="center"/>
    </xf>
    <xf numFmtId="0" fontId="1" fillId="0" borderId="0" xfId="0" applyFont="1" applyBorder="1" applyAlignment="1">
      <alignment horizontal="left" wrapText="1"/>
    </xf>
    <xf numFmtId="168" fontId="1" fillId="0" borderId="0" xfId="0" applyNumberFormat="1" applyFont="1" applyAlignment="1">
      <alignment horizontal="center" vertical="center"/>
    </xf>
    <xf numFmtId="0" fontId="0" fillId="0" borderId="58" xfId="0" applyBorder="1" applyAlignment="1">
      <alignment wrapText="1"/>
    </xf>
    <xf numFmtId="0" fontId="1" fillId="0" borderId="40" xfId="0" applyFont="1" applyBorder="1" applyAlignment="1">
      <alignment horizontal="left" wrapText="1"/>
    </xf>
    <xf numFmtId="168" fontId="80" fillId="0" borderId="0" xfId="0" applyNumberFormat="1" applyFont="1" applyAlignment="1">
      <alignment horizontal="center"/>
    </xf>
    <xf numFmtId="168" fontId="80" fillId="0" borderId="47" xfId="0" applyNumberFormat="1" applyFont="1" applyBorder="1" applyAlignment="1">
      <alignment horizontal="center" vertical="center"/>
    </xf>
    <xf numFmtId="0" fontId="10" fillId="0" borderId="18" xfId="0" applyFont="1" applyFill="1" applyBorder="1" applyAlignment="1">
      <alignment horizontal="right" wrapText="1"/>
    </xf>
    <xf numFmtId="0" fontId="10" fillId="0" borderId="0" xfId="0" applyFont="1" applyFill="1" applyBorder="1" applyAlignment="1">
      <alignment horizontal="right" wrapText="1"/>
    </xf>
    <xf numFmtId="0" fontId="0" fillId="0" borderId="0" xfId="0" applyAlignment="1">
      <alignment wrapText="1"/>
    </xf>
    <xf numFmtId="0" fontId="0" fillId="0" borderId="0" xfId="0" applyAlignment="1">
      <alignment vertical="center"/>
    </xf>
    <xf numFmtId="0" fontId="0" fillId="4" borderId="0" xfId="0" applyFill="1" applyAlignment="1">
      <alignment horizontal="center" vertical="center"/>
    </xf>
    <xf numFmtId="0" fontId="78" fillId="4" borderId="0" xfId="0" applyFont="1" applyFill="1" applyAlignment="1">
      <alignment horizontal="center" vertical="center" readingOrder="1"/>
    </xf>
    <xf numFmtId="0" fontId="0" fillId="0" borderId="0" xfId="0" applyAlignment="1">
      <alignment vertical="center" wrapText="1"/>
    </xf>
    <xf numFmtId="0" fontId="83" fillId="0" borderId="0" xfId="0" applyFont="1" applyAlignment="1">
      <alignment horizontal="left" vertical="center" indent="3" readingOrder="1"/>
    </xf>
    <xf numFmtId="0" fontId="83" fillId="0" borderId="0" xfId="0" applyFont="1" applyFill="1" applyAlignment="1">
      <alignment horizontal="left" vertical="center" indent="3" readingOrder="1"/>
    </xf>
    <xf numFmtId="0" fontId="81" fillId="0" borderId="0" xfId="0" applyFont="1" applyAlignment="1">
      <alignment horizontal="center" vertical="center" wrapText="1" readingOrder="1"/>
    </xf>
  </cellXfs>
  <cellStyles count="4">
    <cellStyle name="Hyperlink" xfId="1" builtinId="8"/>
    <cellStyle name="Normal" xfId="0" builtinId="0"/>
    <cellStyle name="Normal 2" xfId="3" xr:uid="{00000000-0005-0000-0000-00000200000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Baasandmed!$J$2</c:f>
              <c:strCache>
                <c:ptCount val="1"/>
                <c:pt idx="0">
                  <c:v>Tootjate arv</c:v>
                </c:pt>
              </c:strCache>
            </c:strRef>
          </c:tx>
          <c:spPr>
            <a:solidFill>
              <a:schemeClr val="accent1"/>
            </a:solidFill>
            <a:ln>
              <a:noFill/>
            </a:ln>
            <a:effectLst/>
          </c:spPr>
          <c:invertIfNegative val="0"/>
          <c:cat>
            <c:strRef>
              <c:f>Baasandmed!$I$3:$I$25</c:f>
              <c:strCache>
                <c:ptCount val="23"/>
                <c:pt idx="0">
                  <c:v>Teravili</c:v>
                </c:pt>
                <c:pt idx="1">
                  <c:v>Nisu</c:v>
                </c:pt>
                <c:pt idx="2">
                  <c:v>Rukis</c:v>
                </c:pt>
                <c:pt idx="3">
                  <c:v>Oder</c:v>
                </c:pt>
                <c:pt idx="4">
                  <c:v>Kaer</c:v>
                </c:pt>
                <c:pt idx="5">
                  <c:v>Tritik</c:v>
                </c:pt>
                <c:pt idx="6">
                  <c:v>Tatar</c:v>
                </c:pt>
                <c:pt idx="7">
                  <c:v>Kaunvili</c:v>
                </c:pt>
                <c:pt idx="8">
                  <c:v>Põldhernes</c:v>
                </c:pt>
                <c:pt idx="9">
                  <c:v>Põlduba</c:v>
                </c:pt>
                <c:pt idx="10">
                  <c:v>Rühvelkultuur</c:v>
                </c:pt>
                <c:pt idx="11">
                  <c:v>Kartul</c:v>
                </c:pt>
                <c:pt idx="12">
                  <c:v>Söödajuurvili</c:v>
                </c:pt>
                <c:pt idx="13">
                  <c:v>Tehnilised kultuurid</c:v>
                </c:pt>
                <c:pt idx="14">
                  <c:v>Raps ja rüps</c:v>
                </c:pt>
                <c:pt idx="15">
                  <c:v>Õlilina</c:v>
                </c:pt>
                <c:pt idx="16">
                  <c:v>Kanep</c:v>
                </c:pt>
                <c:pt idx="17">
                  <c:v>Mais</c:v>
                </c:pt>
                <c:pt idx="18">
                  <c:v>Rohumaa</c:v>
                </c:pt>
                <c:pt idx="19">
                  <c:v>Püsirohumaa</c:v>
                </c:pt>
                <c:pt idx="20">
                  <c:v>Püsirohumaa sööda tootmiseks</c:v>
                </c:pt>
                <c:pt idx="21">
                  <c:v>Hooldatav püsirohumaa</c:v>
                </c:pt>
                <c:pt idx="22">
                  <c:v>Lühiajaline rohumaa</c:v>
                </c:pt>
              </c:strCache>
            </c:strRef>
          </c:cat>
          <c:val>
            <c:numRef>
              <c:f>Baasandmed!$J$3:$J$25</c:f>
              <c:numCache>
                <c:formatCode>General</c:formatCode>
                <c:ptCount val="23"/>
                <c:pt idx="0">
                  <c:v>4985</c:v>
                </c:pt>
                <c:pt idx="1">
                  <c:v>3230</c:v>
                </c:pt>
                <c:pt idx="2">
                  <c:v>429</c:v>
                </c:pt>
                <c:pt idx="3">
                  <c:v>3123</c:v>
                </c:pt>
                <c:pt idx="4">
                  <c:v>1500</c:v>
                </c:pt>
                <c:pt idx="5">
                  <c:v>421</c:v>
                </c:pt>
                <c:pt idx="6">
                  <c:v>253</c:v>
                </c:pt>
                <c:pt idx="7">
                  <c:v>1691</c:v>
                </c:pt>
                <c:pt idx="8">
                  <c:v>1123</c:v>
                </c:pt>
                <c:pt idx="9">
                  <c:v>568</c:v>
                </c:pt>
                <c:pt idx="11">
                  <c:v>3295</c:v>
                </c:pt>
                <c:pt idx="12">
                  <c:v>33</c:v>
                </c:pt>
                <c:pt idx="13">
                  <c:v>1872</c:v>
                </c:pt>
                <c:pt idx="14">
                  <c:v>1805</c:v>
                </c:pt>
                <c:pt idx="15">
                  <c:v>3</c:v>
                </c:pt>
                <c:pt idx="16">
                  <c:v>64</c:v>
                </c:pt>
                <c:pt idx="17">
                  <c:v>165</c:v>
                </c:pt>
                <c:pt idx="19">
                  <c:v>12686</c:v>
                </c:pt>
                <c:pt idx="20">
                  <c:v>7852</c:v>
                </c:pt>
                <c:pt idx="21">
                  <c:v>4834</c:v>
                </c:pt>
                <c:pt idx="22">
                  <c:v>7219</c:v>
                </c:pt>
              </c:numCache>
            </c:numRef>
          </c:val>
          <c:extLst>
            <c:ext xmlns:c16="http://schemas.microsoft.com/office/drawing/2014/chart" uri="{C3380CC4-5D6E-409C-BE32-E72D297353CC}">
              <c16:uniqueId val="{00000000-72B1-4245-81F1-166A96EF99FA}"/>
            </c:ext>
          </c:extLst>
        </c:ser>
        <c:dLbls>
          <c:showLegendKey val="0"/>
          <c:showVal val="0"/>
          <c:showCatName val="0"/>
          <c:showSerName val="0"/>
          <c:showPercent val="0"/>
          <c:showBubbleSize val="0"/>
        </c:dLbls>
        <c:gapWidth val="219"/>
        <c:overlap val="-27"/>
        <c:axId val="391973600"/>
        <c:axId val="391974584"/>
        <c:extLst>
          <c:ext xmlns:c15="http://schemas.microsoft.com/office/drawing/2012/chart" uri="{02D57815-91ED-43cb-92C2-25804820EDAC}">
            <c15:filteredBarSeries>
              <c15:ser>
                <c:idx val="1"/>
                <c:order val="1"/>
                <c:tx>
                  <c:strRef>
                    <c:extLst>
                      <c:ext uri="{02D57815-91ED-43cb-92C2-25804820EDAC}">
                        <c15:formulaRef>
                          <c15:sqref>Baasandmed!$K$2</c15:sqref>
                        </c15:formulaRef>
                      </c:ext>
                    </c:extLst>
                    <c:strCache>
                      <c:ptCount val="1"/>
                      <c:pt idx="0">
                        <c:v>Tootjate arv grupis (duplikaatideta)</c:v>
                      </c:pt>
                    </c:strCache>
                  </c:strRef>
                </c:tx>
                <c:spPr>
                  <a:solidFill>
                    <a:schemeClr val="accent2"/>
                  </a:solidFill>
                  <a:ln>
                    <a:noFill/>
                  </a:ln>
                  <a:effectLst/>
                </c:spPr>
                <c:invertIfNegative val="0"/>
                <c:cat>
                  <c:strRef>
                    <c:extLst>
                      <c:ext uri="{02D57815-91ED-43cb-92C2-25804820EDAC}">
                        <c15:formulaRef>
                          <c15:sqref>Baasandmed!$I$3:$I$25</c15:sqref>
                        </c15:formulaRef>
                      </c:ext>
                    </c:extLst>
                    <c:strCache>
                      <c:ptCount val="23"/>
                      <c:pt idx="0">
                        <c:v>Teravili</c:v>
                      </c:pt>
                      <c:pt idx="1">
                        <c:v>Nisu</c:v>
                      </c:pt>
                      <c:pt idx="2">
                        <c:v>Rukis</c:v>
                      </c:pt>
                      <c:pt idx="3">
                        <c:v>Oder</c:v>
                      </c:pt>
                      <c:pt idx="4">
                        <c:v>Kaer</c:v>
                      </c:pt>
                      <c:pt idx="5">
                        <c:v>Tritik</c:v>
                      </c:pt>
                      <c:pt idx="6">
                        <c:v>Tatar</c:v>
                      </c:pt>
                      <c:pt idx="7">
                        <c:v>Kaunvili</c:v>
                      </c:pt>
                      <c:pt idx="8">
                        <c:v>Põldhernes</c:v>
                      </c:pt>
                      <c:pt idx="9">
                        <c:v>Põlduba</c:v>
                      </c:pt>
                      <c:pt idx="10">
                        <c:v>Rühvelkultuur</c:v>
                      </c:pt>
                      <c:pt idx="11">
                        <c:v>Kartul</c:v>
                      </c:pt>
                      <c:pt idx="12">
                        <c:v>Söödajuurvili</c:v>
                      </c:pt>
                      <c:pt idx="13">
                        <c:v>Tehnilised kultuurid</c:v>
                      </c:pt>
                      <c:pt idx="14">
                        <c:v>Raps ja rüps</c:v>
                      </c:pt>
                      <c:pt idx="15">
                        <c:v>Õlilina</c:v>
                      </c:pt>
                      <c:pt idx="16">
                        <c:v>Kanep</c:v>
                      </c:pt>
                      <c:pt idx="17">
                        <c:v>Mais</c:v>
                      </c:pt>
                      <c:pt idx="18">
                        <c:v>Rohumaa</c:v>
                      </c:pt>
                      <c:pt idx="19">
                        <c:v>Püsirohumaa</c:v>
                      </c:pt>
                      <c:pt idx="20">
                        <c:v>Püsirohumaa sööda tootmiseks</c:v>
                      </c:pt>
                      <c:pt idx="21">
                        <c:v>Hooldatav püsirohumaa</c:v>
                      </c:pt>
                      <c:pt idx="22">
                        <c:v>Lühiajaline rohumaa</c:v>
                      </c:pt>
                    </c:strCache>
                  </c:strRef>
                </c:cat>
                <c:val>
                  <c:numRef>
                    <c:extLst>
                      <c:ext uri="{02D57815-91ED-43cb-92C2-25804820EDAC}">
                        <c15:formulaRef>
                          <c15:sqref>Baasandmed!$K$3:$K$25</c15:sqref>
                        </c15:formulaRef>
                      </c:ext>
                    </c:extLst>
                    <c:numCache>
                      <c:formatCode>General</c:formatCode>
                      <c:ptCount val="23"/>
                      <c:pt idx="0">
                        <c:v>4665</c:v>
                      </c:pt>
                      <c:pt idx="11">
                        <c:v>260</c:v>
                      </c:pt>
                    </c:numCache>
                  </c:numRef>
                </c:val>
                <c:extLst>
                  <c:ext xmlns:c16="http://schemas.microsoft.com/office/drawing/2014/chart" uri="{C3380CC4-5D6E-409C-BE32-E72D297353CC}">
                    <c16:uniqueId val="{00000001-72B1-4245-81F1-166A96EF99FA}"/>
                  </c:ext>
                </c:extLst>
              </c15:ser>
            </c15:filteredBarSeries>
          </c:ext>
        </c:extLst>
      </c:barChart>
      <c:lineChart>
        <c:grouping val="stacked"/>
        <c:varyColors val="0"/>
        <c:ser>
          <c:idx val="2"/>
          <c:order val="2"/>
          <c:tx>
            <c:strRef>
              <c:f>Baasandmed!$L$2</c:f>
              <c:strCache>
                <c:ptCount val="1"/>
                <c:pt idx="0">
                  <c:v>Kasvupind, ha</c:v>
                </c:pt>
              </c:strCache>
            </c:strRef>
          </c:tx>
          <c:spPr>
            <a:ln w="28575" cap="rnd">
              <a:noFill/>
              <a:round/>
            </a:ln>
            <a:effectLst/>
          </c:spPr>
          <c:marker>
            <c:symbol val="circle"/>
            <c:size val="5"/>
            <c:spPr>
              <a:solidFill>
                <a:schemeClr val="accent3"/>
              </a:solidFill>
              <a:ln w="15875">
                <a:solidFill>
                  <a:schemeClr val="accent3">
                    <a:lumMod val="75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Baasandmed!$I$3:$I$25</c:f>
              <c:strCache>
                <c:ptCount val="23"/>
                <c:pt idx="0">
                  <c:v>Teravili</c:v>
                </c:pt>
                <c:pt idx="1">
                  <c:v>Nisu</c:v>
                </c:pt>
                <c:pt idx="2">
                  <c:v>Rukis</c:v>
                </c:pt>
                <c:pt idx="3">
                  <c:v>Oder</c:v>
                </c:pt>
                <c:pt idx="4">
                  <c:v>Kaer</c:v>
                </c:pt>
                <c:pt idx="5">
                  <c:v>Tritik</c:v>
                </c:pt>
                <c:pt idx="6">
                  <c:v>Tatar</c:v>
                </c:pt>
                <c:pt idx="7">
                  <c:v>Kaunvili</c:v>
                </c:pt>
                <c:pt idx="8">
                  <c:v>Põldhernes</c:v>
                </c:pt>
                <c:pt idx="9">
                  <c:v>Põlduba</c:v>
                </c:pt>
                <c:pt idx="10">
                  <c:v>Rühvelkultuur</c:v>
                </c:pt>
                <c:pt idx="11">
                  <c:v>Kartul</c:v>
                </c:pt>
                <c:pt idx="12">
                  <c:v>Söödajuurvili</c:v>
                </c:pt>
                <c:pt idx="13">
                  <c:v>Tehnilised kultuurid</c:v>
                </c:pt>
                <c:pt idx="14">
                  <c:v>Raps ja rüps</c:v>
                </c:pt>
                <c:pt idx="15">
                  <c:v>Õlilina</c:v>
                </c:pt>
                <c:pt idx="16">
                  <c:v>Kanep</c:v>
                </c:pt>
                <c:pt idx="17">
                  <c:v>Mais</c:v>
                </c:pt>
                <c:pt idx="18">
                  <c:v>Rohumaa</c:v>
                </c:pt>
                <c:pt idx="19">
                  <c:v>Püsirohumaa</c:v>
                </c:pt>
                <c:pt idx="20">
                  <c:v>Püsirohumaa sööda tootmiseks</c:v>
                </c:pt>
                <c:pt idx="21">
                  <c:v>Hooldatav püsirohumaa</c:v>
                </c:pt>
                <c:pt idx="22">
                  <c:v>Lühiajaline rohumaa</c:v>
                </c:pt>
              </c:strCache>
            </c:strRef>
          </c:cat>
          <c:val>
            <c:numRef>
              <c:f>Baasandmed!$L$3:$L$25</c:f>
              <c:numCache>
                <c:formatCode>General</c:formatCode>
                <c:ptCount val="23"/>
                <c:pt idx="0">
                  <c:v>350433</c:v>
                </c:pt>
                <c:pt idx="1">
                  <c:v>154579</c:v>
                </c:pt>
                <c:pt idx="2">
                  <c:v>10854</c:v>
                </c:pt>
                <c:pt idx="3">
                  <c:v>138485</c:v>
                </c:pt>
                <c:pt idx="4">
                  <c:v>39653</c:v>
                </c:pt>
                <c:pt idx="5">
                  <c:v>3342</c:v>
                </c:pt>
                <c:pt idx="6">
                  <c:v>2909</c:v>
                </c:pt>
                <c:pt idx="7">
                  <c:v>46805</c:v>
                </c:pt>
                <c:pt idx="8">
                  <c:v>29677</c:v>
                </c:pt>
                <c:pt idx="9">
                  <c:v>17079</c:v>
                </c:pt>
                <c:pt idx="11">
                  <c:v>5205</c:v>
                </c:pt>
                <c:pt idx="12">
                  <c:v>209</c:v>
                </c:pt>
                <c:pt idx="13">
                  <c:v>79150</c:v>
                </c:pt>
                <c:pt idx="14">
                  <c:v>72683</c:v>
                </c:pt>
                <c:pt idx="15">
                  <c:v>53</c:v>
                </c:pt>
                <c:pt idx="16">
                  <c:v>3536</c:v>
                </c:pt>
                <c:pt idx="17">
                  <c:v>10548</c:v>
                </c:pt>
                <c:pt idx="19">
                  <c:v>314232</c:v>
                </c:pt>
                <c:pt idx="20">
                  <c:v>265379</c:v>
                </c:pt>
                <c:pt idx="21">
                  <c:v>48854</c:v>
                </c:pt>
                <c:pt idx="22">
                  <c:v>124580</c:v>
                </c:pt>
              </c:numCache>
            </c:numRef>
          </c:val>
          <c:smooth val="0"/>
          <c:extLst>
            <c:ext xmlns:c16="http://schemas.microsoft.com/office/drawing/2014/chart" uri="{C3380CC4-5D6E-409C-BE32-E72D297353CC}">
              <c16:uniqueId val="{00000002-72B1-4245-81F1-166A96EF99FA}"/>
            </c:ext>
          </c:extLst>
        </c:ser>
        <c:dLbls>
          <c:showLegendKey val="0"/>
          <c:showVal val="0"/>
          <c:showCatName val="0"/>
          <c:showSerName val="0"/>
          <c:showPercent val="0"/>
          <c:showBubbleSize val="0"/>
        </c:dLbls>
        <c:marker val="1"/>
        <c:smooth val="0"/>
        <c:axId val="386664688"/>
        <c:axId val="386673872"/>
      </c:lineChart>
      <c:catAx>
        <c:axId val="39197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391974584"/>
        <c:crosses val="autoZero"/>
        <c:auto val="1"/>
        <c:lblAlgn val="ctr"/>
        <c:lblOffset val="100"/>
        <c:noMultiLvlLbl val="0"/>
      </c:catAx>
      <c:valAx>
        <c:axId val="391974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t-EE"/>
                  <a:t>Tootjate arv</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391973600"/>
        <c:crosses val="autoZero"/>
        <c:crossBetween val="between"/>
      </c:valAx>
      <c:valAx>
        <c:axId val="38667387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t-EE"/>
                  <a:t>Pindala, tuh ha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386664688"/>
        <c:crosses val="max"/>
        <c:crossBetween val="between"/>
      </c:valAx>
      <c:catAx>
        <c:axId val="386664688"/>
        <c:scaling>
          <c:orientation val="minMax"/>
        </c:scaling>
        <c:delete val="1"/>
        <c:axPos val="b"/>
        <c:numFmt formatCode="General" sourceLinked="1"/>
        <c:majorTickMark val="out"/>
        <c:minorTickMark val="none"/>
        <c:tickLblPos val="nextTo"/>
        <c:crossAx val="3866738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28574</xdr:colOff>
      <xdr:row>28</xdr:row>
      <xdr:rowOff>19050</xdr:rowOff>
    </xdr:from>
    <xdr:to>
      <xdr:col>17</xdr:col>
      <xdr:colOff>0</xdr:colOff>
      <xdr:row>46</xdr:row>
      <xdr:rowOff>142875</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mati" id="{909DC6F7-59F7-46F5-BD9D-CEC58EE4748C}" userId="S::mmati_hot.ee#ext#@tietocorporation.onmicrosoft.com::6c4a4841-5008-491e-947d-6014e8f5bc7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B53" dT="2019-08-28T12:14:59.60" personId="{909DC6F7-59F7-46F5-BD9D-CEC58EE4748C}" id="{06353152-4609-49CD-BAD5-60F5543B7451}">
    <text xml:space="preserve">registri kohta 2 nädalat aastas andmehõivet ja töötlemist; Arendus registri kohta 1 kuu
</text>
  </threadedComment>
</ThreadedComments>
</file>

<file path=xl/threadedComments/threadedComment2.xml><?xml version="1.0" encoding="utf-8"?>
<ThreadedComments xmlns="http://schemas.microsoft.com/office/spreadsheetml/2018/threadedcomments" xmlns:x="http://schemas.openxmlformats.org/spreadsheetml/2006/main">
  <threadedComment ref="E40" dT="2019-08-28T12:18:55.46" personId="{909DC6F7-59F7-46F5-BD9D-CEC58EE4748C}" id="{D9FEC414-96E5-482E-ACE6-E14700F1FCF5}">
    <text xml:space="preserve">jagamisel pole suurt mõtet, tehakse ühes konkreetses kvartalis ära. Iseküsimus, et kas on mõtet PMAsse jätta või tõsta kohe ümber?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maainfo.ee/data/so_calc2/"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5"/>
  <sheetViews>
    <sheetView zoomScale="90" zoomScaleNormal="90" workbookViewId="0">
      <selection activeCell="J6" sqref="J6"/>
    </sheetView>
  </sheetViews>
  <sheetFormatPr defaultRowHeight="15" x14ac:dyDescent="0.25"/>
  <cols>
    <col min="1" max="1" width="2.85546875" customWidth="1"/>
    <col min="2" max="2" width="20.140625" customWidth="1"/>
    <col min="3" max="3" width="46.85546875" customWidth="1"/>
    <col min="4" max="4" width="14.85546875" customWidth="1"/>
    <col min="5" max="5" width="10" customWidth="1"/>
  </cols>
  <sheetData>
    <row r="2" spans="2:5" ht="94.5" customHeight="1" x14ac:dyDescent="0.25">
      <c r="B2" s="40" t="s">
        <v>0</v>
      </c>
      <c r="C2" s="40" t="s">
        <v>1</v>
      </c>
      <c r="D2" s="40" t="s">
        <v>2</v>
      </c>
      <c r="E2" s="40" t="s">
        <v>3</v>
      </c>
    </row>
    <row r="3" spans="2:5" ht="102" x14ac:dyDescent="0.25">
      <c r="B3" s="39" t="s">
        <v>4</v>
      </c>
      <c r="C3" s="41" t="s">
        <v>5</v>
      </c>
      <c r="D3" s="42"/>
      <c r="E3" s="42"/>
    </row>
    <row r="4" spans="2:5" ht="102" x14ac:dyDescent="0.25">
      <c r="B4" s="39" t="s">
        <v>6</v>
      </c>
      <c r="C4" s="41" t="s">
        <v>7</v>
      </c>
      <c r="D4" s="42"/>
      <c r="E4" s="42"/>
    </row>
    <row r="5" spans="2:5" ht="102" x14ac:dyDescent="0.25">
      <c r="B5" s="39" t="s">
        <v>8</v>
      </c>
      <c r="C5" s="41" t="s">
        <v>9</v>
      </c>
      <c r="D5" s="42"/>
      <c r="E5" s="42"/>
    </row>
    <row r="6" spans="2:5" ht="76.5" x14ac:dyDescent="0.25">
      <c r="B6" s="39" t="s">
        <v>10</v>
      </c>
      <c r="C6" s="41" t="s">
        <v>11</v>
      </c>
      <c r="D6" s="42"/>
      <c r="E6" s="42"/>
    </row>
    <row r="7" spans="2:5" ht="63.75" x14ac:dyDescent="0.25">
      <c r="B7" s="39" t="s">
        <v>12</v>
      </c>
      <c r="C7" s="41" t="s">
        <v>13</v>
      </c>
      <c r="D7" s="42"/>
      <c r="E7" s="42"/>
    </row>
    <row r="8" spans="2:5" ht="114.75" x14ac:dyDescent="0.25">
      <c r="B8" s="39" t="s">
        <v>14</v>
      </c>
      <c r="C8" s="41" t="s">
        <v>15</v>
      </c>
      <c r="D8" s="42"/>
      <c r="E8" s="42"/>
    </row>
    <row r="9" spans="2:5" ht="153" x14ac:dyDescent="0.25">
      <c r="B9" s="39" t="s">
        <v>16</v>
      </c>
      <c r="C9" s="41" t="s">
        <v>17</v>
      </c>
      <c r="D9" s="42"/>
      <c r="E9" s="42"/>
    </row>
    <row r="10" spans="2:5" ht="178.5" x14ac:dyDescent="0.25">
      <c r="B10" s="39" t="s">
        <v>18</v>
      </c>
      <c r="C10" s="41" t="s">
        <v>19</v>
      </c>
      <c r="D10" s="42"/>
      <c r="E10" s="42"/>
    </row>
    <row r="11" spans="2:5" ht="191.25" x14ac:dyDescent="0.25">
      <c r="B11" s="39" t="s">
        <v>20</v>
      </c>
      <c r="C11" s="41" t="s">
        <v>21</v>
      </c>
      <c r="D11" s="42"/>
      <c r="E11" s="42"/>
    </row>
    <row r="12" spans="2:5" ht="127.5" x14ac:dyDescent="0.25">
      <c r="B12" s="39" t="s">
        <v>22</v>
      </c>
      <c r="C12" s="41" t="s">
        <v>23</v>
      </c>
      <c r="D12" s="42"/>
      <c r="E12" s="42"/>
    </row>
    <row r="13" spans="2:5" ht="76.5" x14ac:dyDescent="0.25">
      <c r="B13" s="39" t="s">
        <v>24</v>
      </c>
      <c r="C13" s="41" t="s">
        <v>25</v>
      </c>
      <c r="D13" s="42"/>
      <c r="E13" s="42"/>
    </row>
    <row r="14" spans="2:5" ht="140.25" x14ac:dyDescent="0.25">
      <c r="B14" s="39" t="s">
        <v>26</v>
      </c>
      <c r="C14" s="41" t="s">
        <v>27</v>
      </c>
      <c r="D14" s="42"/>
      <c r="E14" s="42"/>
    </row>
    <row r="15" spans="2:5" ht="63.75" x14ac:dyDescent="0.25">
      <c r="B15" s="39" t="s">
        <v>28</v>
      </c>
      <c r="C15" s="41" t="s">
        <v>29</v>
      </c>
      <c r="D15" s="42"/>
      <c r="E15" s="42"/>
    </row>
    <row r="16" spans="2:5" ht="395.25" x14ac:dyDescent="0.25">
      <c r="B16" s="39" t="s">
        <v>30</v>
      </c>
      <c r="C16" s="41" t="s">
        <v>31</v>
      </c>
      <c r="D16" s="42"/>
      <c r="E16" s="42"/>
    </row>
    <row r="17" spans="2:5" ht="25.5" x14ac:dyDescent="0.25">
      <c r="B17" s="43" t="s">
        <v>32</v>
      </c>
      <c r="C17" s="44" t="s">
        <v>33</v>
      </c>
      <c r="D17" s="45"/>
      <c r="E17" s="46"/>
    </row>
    <row r="18" spans="2:5" ht="140.25" x14ac:dyDescent="0.25">
      <c r="B18" s="39" t="s">
        <v>34</v>
      </c>
      <c r="C18" s="41" t="s">
        <v>35</v>
      </c>
      <c r="D18" s="42"/>
      <c r="E18" s="42"/>
    </row>
    <row r="19" spans="2:5" ht="63.75" x14ac:dyDescent="0.25">
      <c r="B19" s="39" t="s">
        <v>36</v>
      </c>
      <c r="C19" s="41" t="s">
        <v>37</v>
      </c>
      <c r="D19" s="42"/>
      <c r="E19" s="42"/>
    </row>
    <row r="20" spans="2:5" ht="140.25" x14ac:dyDescent="0.25">
      <c r="B20" s="39" t="s">
        <v>38</v>
      </c>
      <c r="C20" s="41" t="s">
        <v>39</v>
      </c>
      <c r="D20" s="42"/>
      <c r="E20" s="42"/>
    </row>
    <row r="21" spans="2:5" ht="102" x14ac:dyDescent="0.25">
      <c r="B21" s="39" t="s">
        <v>40</v>
      </c>
      <c r="C21" s="41" t="s">
        <v>41</v>
      </c>
      <c r="D21" s="42"/>
      <c r="E21" s="42"/>
    </row>
    <row r="22" spans="2:5" ht="76.5" x14ac:dyDescent="0.25">
      <c r="B22" s="39" t="s">
        <v>42</v>
      </c>
      <c r="C22" s="41" t="s">
        <v>43</v>
      </c>
      <c r="D22" s="42"/>
      <c r="E22" s="42"/>
    </row>
    <row r="23" spans="2:5" ht="76.5" x14ac:dyDescent="0.25">
      <c r="B23" s="39" t="s">
        <v>44</v>
      </c>
      <c r="C23" s="41" t="s">
        <v>45</v>
      </c>
      <c r="D23" s="42"/>
      <c r="E23" s="42"/>
    </row>
    <row r="24" spans="2:5" ht="105" x14ac:dyDescent="0.25">
      <c r="B24" s="39" t="s">
        <v>46</v>
      </c>
      <c r="C24" s="41" t="s">
        <v>47</v>
      </c>
      <c r="D24" s="42"/>
      <c r="E24" s="42"/>
    </row>
    <row r="25" spans="2:5" ht="89.25" x14ac:dyDescent="0.25">
      <c r="B25" s="39" t="s">
        <v>48</v>
      </c>
      <c r="C25" s="41" t="s">
        <v>49</v>
      </c>
      <c r="D25" s="42"/>
      <c r="E25" s="42"/>
    </row>
  </sheetData>
  <autoFilter ref="B2:E25" xr:uid="{00000000-0009-0000-0000-000000000000}"/>
  <pageMargins left="0.39370078740157483"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S108"/>
  <sheetViews>
    <sheetView workbookViewId="0">
      <selection activeCell="G111" sqref="G111"/>
    </sheetView>
  </sheetViews>
  <sheetFormatPr defaultRowHeight="15" x14ac:dyDescent="0.25"/>
  <cols>
    <col min="2" max="2" width="25.42578125" customWidth="1"/>
    <col min="3" max="3" width="10.140625" customWidth="1"/>
    <col min="4" max="4" width="10.140625" style="48" customWidth="1"/>
    <col min="5" max="5" width="13.5703125" customWidth="1"/>
    <col min="6" max="6" width="10.85546875" customWidth="1"/>
    <col min="7" max="7" width="39.140625" customWidth="1"/>
    <col min="8" max="8" width="40.140625" customWidth="1"/>
    <col min="9" max="9" width="9.42578125" customWidth="1"/>
    <col min="11" max="11" width="18" customWidth="1"/>
  </cols>
  <sheetData>
    <row r="1" spans="1:19" x14ac:dyDescent="0.25">
      <c r="A1" s="83"/>
      <c r="B1" s="56" t="s">
        <v>50</v>
      </c>
      <c r="C1" s="83"/>
      <c r="D1" s="83"/>
      <c r="E1" s="83"/>
      <c r="F1" s="83"/>
      <c r="G1" s="83"/>
      <c r="H1" s="83"/>
      <c r="I1" s="83"/>
      <c r="J1" s="83"/>
      <c r="K1" s="56" t="s">
        <v>51</v>
      </c>
      <c r="L1" s="83"/>
      <c r="M1" s="83"/>
      <c r="N1" s="83"/>
      <c r="O1" s="83"/>
      <c r="P1" s="83"/>
      <c r="Q1" s="83"/>
      <c r="R1" s="83"/>
      <c r="S1" s="83"/>
    </row>
    <row r="2" spans="1:19" x14ac:dyDescent="0.25">
      <c r="A2" s="83"/>
      <c r="B2" s="83" t="s">
        <v>52</v>
      </c>
      <c r="C2" s="83" t="s">
        <v>53</v>
      </c>
      <c r="D2" s="83"/>
      <c r="E2" s="83" t="s">
        <v>54</v>
      </c>
      <c r="F2" s="83" t="s">
        <v>55</v>
      </c>
      <c r="G2" s="83"/>
      <c r="H2" s="83"/>
      <c r="I2" s="83"/>
      <c r="J2" s="83"/>
      <c r="K2" s="83" t="s">
        <v>0</v>
      </c>
      <c r="L2" s="83" t="s">
        <v>1</v>
      </c>
      <c r="M2" s="83" t="s">
        <v>54</v>
      </c>
      <c r="N2" s="83" t="s">
        <v>55</v>
      </c>
      <c r="O2" s="83" t="s">
        <v>55</v>
      </c>
      <c r="P2" s="83" t="s">
        <v>55</v>
      </c>
      <c r="Q2" s="83" t="s">
        <v>55</v>
      </c>
      <c r="R2" s="83" t="s">
        <v>55</v>
      </c>
      <c r="S2" s="83" t="s">
        <v>55</v>
      </c>
    </row>
    <row r="3" spans="1:19" x14ac:dyDescent="0.25">
      <c r="A3" s="83">
        <v>1</v>
      </c>
      <c r="B3" s="83" t="s">
        <v>28</v>
      </c>
      <c r="C3" s="83" t="s">
        <v>29</v>
      </c>
      <c r="D3" s="83"/>
      <c r="E3" s="83">
        <v>1111111</v>
      </c>
      <c r="F3" s="47" t="s">
        <v>56</v>
      </c>
      <c r="G3" s="83"/>
      <c r="H3" s="83"/>
      <c r="I3" s="83"/>
      <c r="J3" s="83">
        <v>1</v>
      </c>
      <c r="K3" s="83" t="s">
        <v>4</v>
      </c>
      <c r="L3" s="83" t="s">
        <v>5</v>
      </c>
      <c r="M3" s="83">
        <v>111111</v>
      </c>
      <c r="N3" s="83">
        <v>4</v>
      </c>
      <c r="O3" s="83">
        <v>2</v>
      </c>
      <c r="P3" s="83">
        <v>4</v>
      </c>
      <c r="Q3" s="83">
        <v>2</v>
      </c>
      <c r="R3" s="83">
        <v>4</v>
      </c>
      <c r="S3" s="83">
        <v>3</v>
      </c>
    </row>
    <row r="4" spans="1:19" x14ac:dyDescent="0.25">
      <c r="A4" s="83">
        <v>2</v>
      </c>
      <c r="B4" s="83" t="s">
        <v>34</v>
      </c>
      <c r="C4" s="83" t="s">
        <v>35</v>
      </c>
      <c r="D4" s="83"/>
      <c r="E4" s="83">
        <v>1111111</v>
      </c>
      <c r="F4" s="47" t="s">
        <v>57</v>
      </c>
      <c r="G4" s="83"/>
      <c r="H4" s="83"/>
      <c r="I4" s="83"/>
      <c r="J4" s="83">
        <v>2</v>
      </c>
      <c r="K4" s="83" t="s">
        <v>16</v>
      </c>
      <c r="L4" s="83" t="s">
        <v>17</v>
      </c>
      <c r="M4" s="83">
        <v>11111</v>
      </c>
      <c r="N4" s="83">
        <v>5</v>
      </c>
      <c r="O4" s="83">
        <v>4</v>
      </c>
      <c r="P4" s="83">
        <v>3</v>
      </c>
      <c r="Q4" s="83">
        <v>5</v>
      </c>
      <c r="R4" s="83">
        <v>5</v>
      </c>
      <c r="S4" s="83"/>
    </row>
    <row r="5" spans="1:19" x14ac:dyDescent="0.25">
      <c r="A5" s="83">
        <v>3</v>
      </c>
      <c r="B5" s="83" t="s">
        <v>44</v>
      </c>
      <c r="C5" s="83" t="s">
        <v>45</v>
      </c>
      <c r="D5" s="83"/>
      <c r="E5" s="83">
        <v>111111</v>
      </c>
      <c r="F5" s="47" t="s">
        <v>58</v>
      </c>
      <c r="G5" s="83" t="s">
        <v>59</v>
      </c>
      <c r="H5" s="83"/>
      <c r="I5" s="83"/>
      <c r="J5" s="83">
        <v>3</v>
      </c>
      <c r="K5" s="83" t="s">
        <v>32</v>
      </c>
      <c r="L5" s="83" t="s">
        <v>33</v>
      </c>
      <c r="M5" s="83">
        <v>11111</v>
      </c>
      <c r="N5" s="83">
        <v>1</v>
      </c>
      <c r="O5" s="83">
        <v>5</v>
      </c>
      <c r="P5" s="83">
        <v>5</v>
      </c>
      <c r="Q5" s="83">
        <v>2</v>
      </c>
      <c r="R5" s="83">
        <v>1</v>
      </c>
      <c r="S5" s="83"/>
    </row>
    <row r="6" spans="1:19" x14ac:dyDescent="0.25">
      <c r="A6" s="83">
        <v>4</v>
      </c>
      <c r="B6" s="83" t="s">
        <v>6</v>
      </c>
      <c r="C6" s="83" t="s">
        <v>7</v>
      </c>
      <c r="D6" s="83"/>
      <c r="E6" s="83">
        <v>11111</v>
      </c>
      <c r="F6" s="47" t="s">
        <v>60</v>
      </c>
      <c r="G6" s="83"/>
      <c r="H6" s="83"/>
      <c r="I6" s="83"/>
      <c r="J6" s="83">
        <v>4</v>
      </c>
      <c r="K6" s="83" t="s">
        <v>34</v>
      </c>
      <c r="L6" s="83" t="s">
        <v>35</v>
      </c>
      <c r="M6" s="83">
        <v>1111</v>
      </c>
      <c r="N6" s="83">
        <v>2</v>
      </c>
      <c r="O6" s="83">
        <v>2</v>
      </c>
      <c r="P6" s="83">
        <v>3</v>
      </c>
      <c r="Q6" s="83">
        <v>2</v>
      </c>
      <c r="R6" s="83"/>
      <c r="S6" s="83"/>
    </row>
    <row r="7" spans="1:19" x14ac:dyDescent="0.25">
      <c r="A7" s="83">
        <v>5</v>
      </c>
      <c r="B7" s="83" t="s">
        <v>36</v>
      </c>
      <c r="C7" s="83" t="s">
        <v>37</v>
      </c>
      <c r="D7" s="83"/>
      <c r="E7" s="83">
        <v>11111</v>
      </c>
      <c r="F7" s="47" t="s">
        <v>61</v>
      </c>
      <c r="G7" s="83" t="s">
        <v>62</v>
      </c>
      <c r="H7" s="83"/>
      <c r="I7" s="83"/>
      <c r="J7" s="83">
        <v>5</v>
      </c>
      <c r="K7" s="83" t="s">
        <v>20</v>
      </c>
      <c r="L7" s="83" t="s">
        <v>21</v>
      </c>
      <c r="M7" s="83">
        <v>111</v>
      </c>
      <c r="N7" s="83">
        <v>3</v>
      </c>
      <c r="O7" s="83">
        <v>2</v>
      </c>
      <c r="P7" s="83">
        <v>2</v>
      </c>
      <c r="Q7" s="83"/>
      <c r="R7" s="83"/>
      <c r="S7" s="83"/>
    </row>
    <row r="8" spans="1:19" x14ac:dyDescent="0.25">
      <c r="A8" s="83">
        <v>6</v>
      </c>
      <c r="B8" s="83" t="s">
        <v>20</v>
      </c>
      <c r="C8" s="83" t="s">
        <v>21</v>
      </c>
      <c r="D8" s="83"/>
      <c r="E8" s="83">
        <v>1111</v>
      </c>
      <c r="F8" s="47" t="s">
        <v>63</v>
      </c>
      <c r="G8" s="83"/>
      <c r="H8" s="83"/>
      <c r="I8" s="83"/>
      <c r="J8" s="83">
        <v>6</v>
      </c>
      <c r="K8" s="83" t="s">
        <v>26</v>
      </c>
      <c r="L8" s="83" t="s">
        <v>27</v>
      </c>
      <c r="M8" s="83">
        <v>111</v>
      </c>
      <c r="N8" s="83">
        <v>1</v>
      </c>
      <c r="O8" s="83">
        <v>4</v>
      </c>
      <c r="P8" s="83"/>
      <c r="Q8" s="83"/>
      <c r="R8" s="83"/>
      <c r="S8" s="83"/>
    </row>
    <row r="9" spans="1:19" x14ac:dyDescent="0.25">
      <c r="A9" s="83">
        <v>7</v>
      </c>
      <c r="B9" s="83" t="s">
        <v>30</v>
      </c>
      <c r="C9" s="83" t="s">
        <v>64</v>
      </c>
      <c r="D9" s="83"/>
      <c r="E9" s="83">
        <v>1111</v>
      </c>
      <c r="F9" s="47" t="s">
        <v>65</v>
      </c>
      <c r="G9" s="83"/>
      <c r="H9" s="83"/>
      <c r="I9" s="83"/>
      <c r="J9" s="83">
        <v>7</v>
      </c>
      <c r="K9" s="83" t="s">
        <v>40</v>
      </c>
      <c r="L9" s="83" t="s">
        <v>41</v>
      </c>
      <c r="M9" s="83">
        <v>111</v>
      </c>
      <c r="N9" s="83">
        <v>2</v>
      </c>
      <c r="O9" s="83">
        <v>4</v>
      </c>
      <c r="P9" s="83"/>
      <c r="Q9" s="83"/>
      <c r="R9" s="83"/>
      <c r="S9" s="83"/>
    </row>
    <row r="10" spans="1:19" x14ac:dyDescent="0.25">
      <c r="A10" s="83">
        <v>8</v>
      </c>
      <c r="B10" s="83" t="s">
        <v>32</v>
      </c>
      <c r="C10" s="83" t="s">
        <v>33</v>
      </c>
      <c r="D10" s="83"/>
      <c r="E10" s="83">
        <v>1111</v>
      </c>
      <c r="F10" s="47" t="s">
        <v>66</v>
      </c>
      <c r="G10" s="83" t="s">
        <v>67</v>
      </c>
      <c r="H10" s="83"/>
      <c r="I10" s="83"/>
      <c r="J10" s="83">
        <v>8</v>
      </c>
      <c r="K10" s="83" t="s">
        <v>8</v>
      </c>
      <c r="L10" s="83" t="s">
        <v>68</v>
      </c>
      <c r="M10" s="83">
        <v>11</v>
      </c>
      <c r="N10" s="83">
        <v>1</v>
      </c>
      <c r="O10" s="83">
        <v>4</v>
      </c>
      <c r="P10" s="83"/>
      <c r="Q10" s="83"/>
      <c r="R10" s="83"/>
      <c r="S10" s="83"/>
    </row>
    <row r="11" spans="1:19" x14ac:dyDescent="0.25">
      <c r="A11" s="83">
        <v>9</v>
      </c>
      <c r="B11" s="83" t="s">
        <v>38</v>
      </c>
      <c r="C11" s="83" t="s">
        <v>69</v>
      </c>
      <c r="D11" s="83"/>
      <c r="E11" s="83">
        <v>1111</v>
      </c>
      <c r="F11" s="47" t="s">
        <v>70</v>
      </c>
      <c r="G11" s="83"/>
      <c r="H11" s="83"/>
      <c r="I11" s="83"/>
      <c r="J11" s="83">
        <v>9</v>
      </c>
      <c r="K11" s="83" t="s">
        <v>10</v>
      </c>
      <c r="L11" s="83" t="s">
        <v>11</v>
      </c>
      <c r="M11" s="83">
        <v>11</v>
      </c>
      <c r="N11" s="83">
        <v>1</v>
      </c>
      <c r="O11" s="83">
        <v>1</v>
      </c>
      <c r="P11" s="83"/>
      <c r="Q11" s="83"/>
      <c r="R11" s="83"/>
      <c r="S11" s="83"/>
    </row>
    <row r="12" spans="1:19" x14ac:dyDescent="0.25">
      <c r="A12" s="83">
        <v>10</v>
      </c>
      <c r="B12" s="83" t="s">
        <v>40</v>
      </c>
      <c r="C12" s="83" t="s">
        <v>41</v>
      </c>
      <c r="D12" s="83"/>
      <c r="E12" s="83">
        <v>1111</v>
      </c>
      <c r="F12" s="47" t="s">
        <v>71</v>
      </c>
      <c r="G12" s="83"/>
      <c r="H12" s="83"/>
      <c r="I12" s="83"/>
      <c r="J12" s="83">
        <v>10</v>
      </c>
      <c r="K12" s="83" t="s">
        <v>28</v>
      </c>
      <c r="L12" s="83" t="s">
        <v>29</v>
      </c>
      <c r="M12" s="83">
        <v>11</v>
      </c>
      <c r="N12" s="83">
        <v>5</v>
      </c>
      <c r="O12" s="83">
        <v>3</v>
      </c>
      <c r="P12" s="83"/>
      <c r="Q12" s="83"/>
      <c r="R12" s="83"/>
      <c r="S12" s="83"/>
    </row>
    <row r="13" spans="1:19" x14ac:dyDescent="0.25">
      <c r="A13" s="83"/>
      <c r="B13" s="83" t="s">
        <v>10</v>
      </c>
      <c r="C13" s="83" t="s">
        <v>11</v>
      </c>
      <c r="D13" s="83"/>
      <c r="E13" s="83">
        <v>111</v>
      </c>
      <c r="F13" s="47" t="s">
        <v>72</v>
      </c>
      <c r="G13" s="83"/>
      <c r="H13" s="83"/>
      <c r="I13" s="83"/>
      <c r="J13" s="83"/>
      <c r="K13" s="83" t="s">
        <v>30</v>
      </c>
      <c r="L13" s="83" t="s">
        <v>64</v>
      </c>
      <c r="M13" s="83">
        <v>11</v>
      </c>
      <c r="N13" s="83">
        <v>3</v>
      </c>
      <c r="O13" s="83">
        <v>4</v>
      </c>
      <c r="P13" s="83"/>
      <c r="Q13" s="83"/>
      <c r="R13" s="83"/>
      <c r="S13" s="83"/>
    </row>
    <row r="14" spans="1:19" x14ac:dyDescent="0.25">
      <c r="A14" s="83"/>
      <c r="B14" s="83" t="s">
        <v>48</v>
      </c>
      <c r="C14" s="83" t="s">
        <v>49</v>
      </c>
      <c r="D14" s="83"/>
      <c r="E14" s="83">
        <v>111</v>
      </c>
      <c r="F14" s="47" t="s">
        <v>73</v>
      </c>
      <c r="G14" s="83"/>
      <c r="H14" s="83"/>
      <c r="I14" s="83"/>
      <c r="J14" s="83"/>
      <c r="K14" s="83" t="s">
        <v>36</v>
      </c>
      <c r="L14" s="83" t="s">
        <v>37</v>
      </c>
      <c r="M14" s="83">
        <v>11</v>
      </c>
      <c r="N14" s="83">
        <v>1</v>
      </c>
      <c r="O14" s="83"/>
      <c r="P14" s="83"/>
      <c r="Q14" s="83"/>
      <c r="R14" s="83"/>
      <c r="S14" s="83"/>
    </row>
    <row r="15" spans="1:19" x14ac:dyDescent="0.25">
      <c r="A15" s="83"/>
      <c r="B15" s="83" t="s">
        <v>4</v>
      </c>
      <c r="C15" s="83" t="s">
        <v>5</v>
      </c>
      <c r="D15" s="83"/>
      <c r="E15" s="83">
        <v>11</v>
      </c>
      <c r="F15" s="47" t="s">
        <v>74</v>
      </c>
      <c r="G15" s="83"/>
      <c r="H15" s="83"/>
      <c r="I15" s="83"/>
      <c r="J15" s="83"/>
      <c r="K15" s="83" t="s">
        <v>44</v>
      </c>
      <c r="L15" s="83" t="s">
        <v>45</v>
      </c>
      <c r="M15" s="83">
        <v>11</v>
      </c>
      <c r="N15" s="83">
        <v>1</v>
      </c>
      <c r="O15" s="83">
        <v>3</v>
      </c>
      <c r="P15" s="83"/>
      <c r="Q15" s="83"/>
      <c r="R15" s="83"/>
      <c r="S15" s="83"/>
    </row>
    <row r="16" spans="1:19" x14ac:dyDescent="0.25">
      <c r="A16" s="83"/>
      <c r="B16" s="83" t="s">
        <v>8</v>
      </c>
      <c r="C16" s="83" t="s">
        <v>68</v>
      </c>
      <c r="D16" s="83"/>
      <c r="E16" s="83">
        <v>11</v>
      </c>
      <c r="F16" s="47" t="s">
        <v>75</v>
      </c>
      <c r="G16" s="83"/>
      <c r="H16" s="83"/>
      <c r="I16" s="83"/>
      <c r="J16" s="83"/>
      <c r="K16" s="83" t="s">
        <v>48</v>
      </c>
      <c r="L16" s="83" t="s">
        <v>49</v>
      </c>
      <c r="M16" s="83">
        <v>11</v>
      </c>
      <c r="N16" s="83">
        <v>5</v>
      </c>
      <c r="O16" s="83">
        <v>1</v>
      </c>
      <c r="P16" s="83"/>
      <c r="Q16" s="83"/>
      <c r="R16" s="83"/>
      <c r="S16" s="83"/>
    </row>
    <row r="17" spans="1:14" x14ac:dyDescent="0.25">
      <c r="A17" s="83"/>
      <c r="B17" s="83" t="s">
        <v>14</v>
      </c>
      <c r="C17" s="83" t="s">
        <v>15</v>
      </c>
      <c r="D17" s="83"/>
      <c r="E17" s="83">
        <v>11</v>
      </c>
      <c r="F17" s="83">
        <v>0</v>
      </c>
      <c r="G17" s="83"/>
      <c r="H17" s="83"/>
      <c r="I17" s="83"/>
      <c r="J17" s="83"/>
      <c r="K17" s="83" t="s">
        <v>6</v>
      </c>
      <c r="L17" s="83" t="s">
        <v>7</v>
      </c>
      <c r="M17" s="83">
        <v>1</v>
      </c>
      <c r="N17" s="83">
        <v>4</v>
      </c>
    </row>
    <row r="18" spans="1:14" x14ac:dyDescent="0.25">
      <c r="A18" s="83"/>
      <c r="B18" s="83" t="s">
        <v>16</v>
      </c>
      <c r="C18" s="83" t="s">
        <v>17</v>
      </c>
      <c r="D18" s="83"/>
      <c r="E18" s="83">
        <v>11</v>
      </c>
      <c r="F18" s="83">
        <v>3</v>
      </c>
      <c r="G18" s="83"/>
      <c r="H18" s="83"/>
      <c r="I18" s="83"/>
      <c r="J18" s="83"/>
      <c r="K18" s="83" t="s">
        <v>14</v>
      </c>
      <c r="L18" s="83" t="s">
        <v>15</v>
      </c>
      <c r="M18" s="83">
        <v>1</v>
      </c>
      <c r="N18" s="83">
        <v>3</v>
      </c>
    </row>
    <row r="19" spans="1:14" x14ac:dyDescent="0.25">
      <c r="A19" s="83"/>
      <c r="B19" s="83" t="s">
        <v>18</v>
      </c>
      <c r="C19" s="83" t="s">
        <v>76</v>
      </c>
      <c r="D19" s="83"/>
      <c r="E19" s="83">
        <v>1</v>
      </c>
      <c r="F19" s="83">
        <v>5</v>
      </c>
      <c r="G19" s="83"/>
      <c r="H19" s="83"/>
      <c r="I19" s="83"/>
      <c r="J19" s="83"/>
      <c r="K19" s="83" t="s">
        <v>18</v>
      </c>
      <c r="L19" s="83" t="s">
        <v>76</v>
      </c>
      <c r="M19" s="83">
        <v>1</v>
      </c>
      <c r="N19" s="83">
        <v>5</v>
      </c>
    </row>
    <row r="20" spans="1:14" x14ac:dyDescent="0.25">
      <c r="A20" s="83"/>
      <c r="B20" s="83" t="s">
        <v>46</v>
      </c>
      <c r="C20" s="83" t="s">
        <v>47</v>
      </c>
      <c r="D20" s="83"/>
      <c r="E20" s="83">
        <v>1</v>
      </c>
      <c r="F20" s="83">
        <v>5</v>
      </c>
      <c r="G20" s="83"/>
      <c r="H20" s="83"/>
      <c r="I20" s="83"/>
      <c r="J20" s="83"/>
      <c r="K20" s="83" t="s">
        <v>22</v>
      </c>
      <c r="L20" s="83" t="s">
        <v>23</v>
      </c>
      <c r="M20" s="83">
        <v>1</v>
      </c>
      <c r="N20" s="83">
        <v>3</v>
      </c>
    </row>
    <row r="21" spans="1:14" x14ac:dyDescent="0.25">
      <c r="A21" s="83"/>
      <c r="B21" s="83" t="s">
        <v>12</v>
      </c>
      <c r="C21" s="83"/>
      <c r="D21" s="83"/>
      <c r="E21" s="83">
        <v>0</v>
      </c>
      <c r="F21" s="83">
        <v>0</v>
      </c>
      <c r="G21" s="83"/>
      <c r="H21" s="83"/>
      <c r="I21" s="83"/>
      <c r="J21" s="83"/>
      <c r="K21" s="83" t="s">
        <v>38</v>
      </c>
      <c r="L21" s="83" t="s">
        <v>69</v>
      </c>
      <c r="M21" s="83">
        <v>1</v>
      </c>
      <c r="N21" s="83" t="s">
        <v>77</v>
      </c>
    </row>
    <row r="22" spans="1:14" x14ac:dyDescent="0.25">
      <c r="A22" s="83"/>
      <c r="B22" s="83" t="s">
        <v>22</v>
      </c>
      <c r="C22" s="83"/>
      <c r="D22" s="83"/>
      <c r="E22" s="83">
        <v>0</v>
      </c>
      <c r="F22" s="83">
        <v>0</v>
      </c>
      <c r="G22" s="83"/>
      <c r="H22" s="83"/>
      <c r="I22" s="83"/>
      <c r="J22" s="83"/>
      <c r="K22" s="83" t="s">
        <v>42</v>
      </c>
      <c r="L22" s="83" t="s">
        <v>43</v>
      </c>
      <c r="M22" s="83">
        <v>1</v>
      </c>
      <c r="N22" s="83">
        <v>5</v>
      </c>
    </row>
    <row r="23" spans="1:14" x14ac:dyDescent="0.25">
      <c r="A23" s="83"/>
      <c r="B23" s="83" t="s">
        <v>24</v>
      </c>
      <c r="C23" s="83"/>
      <c r="D23" s="83"/>
      <c r="E23" s="83">
        <v>0</v>
      </c>
      <c r="F23" s="83">
        <v>0</v>
      </c>
      <c r="G23" s="83"/>
      <c r="H23" s="83"/>
      <c r="I23" s="83"/>
      <c r="J23" s="83"/>
      <c r="K23" s="83" t="s">
        <v>46</v>
      </c>
      <c r="L23" s="83" t="s">
        <v>47</v>
      </c>
      <c r="M23" s="83">
        <v>1</v>
      </c>
      <c r="N23" s="83" t="s">
        <v>77</v>
      </c>
    </row>
    <row r="24" spans="1:14" x14ac:dyDescent="0.25">
      <c r="A24" s="83"/>
      <c r="B24" s="83" t="s">
        <v>26</v>
      </c>
      <c r="C24" s="83"/>
      <c r="D24" s="83"/>
      <c r="E24" s="83">
        <v>0</v>
      </c>
      <c r="F24" s="83">
        <v>0</v>
      </c>
      <c r="G24" s="83"/>
      <c r="H24" s="83"/>
      <c r="I24" s="83"/>
      <c r="J24" s="83"/>
      <c r="K24" s="83" t="s">
        <v>12</v>
      </c>
      <c r="L24" s="83" t="s">
        <v>13</v>
      </c>
      <c r="M24" s="83"/>
      <c r="N24" s="83"/>
    </row>
    <row r="25" spans="1:14" x14ac:dyDescent="0.25">
      <c r="A25" s="83"/>
      <c r="B25" s="83" t="s">
        <v>42</v>
      </c>
      <c r="C25" s="83"/>
      <c r="D25" s="83"/>
      <c r="E25" s="83">
        <v>0</v>
      </c>
      <c r="F25" s="83">
        <v>0</v>
      </c>
      <c r="G25" s="83"/>
      <c r="H25" s="83"/>
      <c r="I25" s="83"/>
      <c r="J25" s="83"/>
      <c r="K25" s="83" t="s">
        <v>24</v>
      </c>
      <c r="L25" s="83" t="s">
        <v>25</v>
      </c>
      <c r="M25" s="83"/>
      <c r="N25" s="83"/>
    </row>
    <row r="28" spans="1:14" x14ac:dyDescent="0.25">
      <c r="A28" s="83"/>
      <c r="B28" s="83" t="s">
        <v>78</v>
      </c>
      <c r="C28" s="83"/>
      <c r="D28" s="83"/>
      <c r="E28" s="83"/>
      <c r="F28" s="83"/>
      <c r="G28" s="83"/>
      <c r="H28" s="83"/>
      <c r="I28" s="83"/>
      <c r="J28" s="83" t="s">
        <v>79</v>
      </c>
      <c r="K28" s="83"/>
      <c r="L28" s="83"/>
      <c r="M28" s="83"/>
      <c r="N28" s="83"/>
    </row>
    <row r="29" spans="1:14" x14ac:dyDescent="0.25">
      <c r="A29" s="55" t="s">
        <v>80</v>
      </c>
      <c r="B29" s="83" t="s">
        <v>52</v>
      </c>
      <c r="C29" s="83" t="s">
        <v>53</v>
      </c>
      <c r="D29" s="83"/>
      <c r="E29" s="83" t="s">
        <v>54</v>
      </c>
      <c r="F29" s="83" t="s">
        <v>55</v>
      </c>
      <c r="G29" s="55"/>
      <c r="H29" s="83"/>
      <c r="I29" s="47" t="s">
        <v>81</v>
      </c>
      <c r="J29" s="83" t="s">
        <v>52</v>
      </c>
      <c r="K29" s="83" t="s">
        <v>82</v>
      </c>
      <c r="L29" s="83" t="s">
        <v>83</v>
      </c>
      <c r="M29" s="83" t="s">
        <v>84</v>
      </c>
      <c r="N29" s="83" t="s">
        <v>85</v>
      </c>
    </row>
    <row r="30" spans="1:14" x14ac:dyDescent="0.25">
      <c r="A30" s="55">
        <v>10</v>
      </c>
      <c r="B30" s="83" t="s">
        <v>34</v>
      </c>
      <c r="C30" s="83" t="s">
        <v>35</v>
      </c>
      <c r="D30" s="83"/>
      <c r="E30" s="83">
        <v>11111111111</v>
      </c>
      <c r="F30" s="47" t="s">
        <v>86</v>
      </c>
      <c r="G30" s="55"/>
      <c r="H30" s="83"/>
      <c r="I30" s="83">
        <v>1</v>
      </c>
      <c r="J30" s="83" t="s">
        <v>34</v>
      </c>
      <c r="K30" s="83" t="s">
        <v>35</v>
      </c>
      <c r="L30" s="83">
        <v>11111111111</v>
      </c>
      <c r="M30" s="83">
        <v>2</v>
      </c>
      <c r="N30" s="83">
        <v>4</v>
      </c>
    </row>
    <row r="31" spans="1:14" x14ac:dyDescent="0.25">
      <c r="A31" s="55">
        <v>9</v>
      </c>
      <c r="B31" s="83" t="s">
        <v>28</v>
      </c>
      <c r="C31" s="83" t="s">
        <v>29</v>
      </c>
      <c r="D31" s="83"/>
      <c r="E31" s="83">
        <v>111111111</v>
      </c>
      <c r="F31" s="47" t="s">
        <v>87</v>
      </c>
      <c r="G31" s="55"/>
      <c r="H31" s="83"/>
      <c r="I31" s="83">
        <v>2</v>
      </c>
      <c r="J31" s="83" t="s">
        <v>28</v>
      </c>
      <c r="K31" s="83" t="s">
        <v>29</v>
      </c>
      <c r="L31" s="83">
        <v>111111111</v>
      </c>
      <c r="M31" s="83">
        <v>1</v>
      </c>
      <c r="N31" s="83">
        <v>10</v>
      </c>
    </row>
    <row r="32" spans="1:14" x14ac:dyDescent="0.25">
      <c r="A32" s="55">
        <v>9</v>
      </c>
      <c r="B32" s="83" t="s">
        <v>32</v>
      </c>
      <c r="C32" s="83" t="s">
        <v>33</v>
      </c>
      <c r="D32" s="83"/>
      <c r="E32" s="83">
        <v>111111111</v>
      </c>
      <c r="F32" s="47" t="s">
        <v>88</v>
      </c>
      <c r="G32" s="55"/>
      <c r="H32" s="83"/>
      <c r="I32" s="83">
        <v>3</v>
      </c>
      <c r="J32" s="83" t="s">
        <v>32</v>
      </c>
      <c r="K32" s="83" t="s">
        <v>33</v>
      </c>
      <c r="L32" s="83">
        <v>111111111</v>
      </c>
      <c r="M32" s="83">
        <v>8</v>
      </c>
      <c r="N32" s="83">
        <v>3</v>
      </c>
    </row>
    <row r="33" spans="1:14" x14ac:dyDescent="0.25">
      <c r="A33" s="55">
        <v>8</v>
      </c>
      <c r="B33" s="83" t="s">
        <v>44</v>
      </c>
      <c r="C33" s="83" t="s">
        <v>45</v>
      </c>
      <c r="D33" s="83"/>
      <c r="E33" s="83">
        <v>11111111</v>
      </c>
      <c r="F33" s="47" t="s">
        <v>89</v>
      </c>
      <c r="G33" s="55"/>
      <c r="H33" s="83"/>
      <c r="I33" s="83">
        <v>4</v>
      </c>
      <c r="J33" s="83" t="s">
        <v>44</v>
      </c>
      <c r="K33" s="83" t="s">
        <v>45</v>
      </c>
      <c r="L33" s="83">
        <v>11111111</v>
      </c>
      <c r="M33" s="83">
        <v>3</v>
      </c>
      <c r="N33" s="83">
        <v>13</v>
      </c>
    </row>
    <row r="34" spans="1:14" x14ac:dyDescent="0.25">
      <c r="A34" s="55">
        <v>8</v>
      </c>
      <c r="B34" s="83" t="s">
        <v>4</v>
      </c>
      <c r="C34" s="83" t="s">
        <v>5</v>
      </c>
      <c r="D34" s="83"/>
      <c r="E34" s="83">
        <v>11111111</v>
      </c>
      <c r="F34" s="47" t="s">
        <v>90</v>
      </c>
      <c r="G34" s="55"/>
      <c r="H34" s="83"/>
      <c r="I34" s="83">
        <v>5</v>
      </c>
      <c r="J34" s="83" t="s">
        <v>4</v>
      </c>
      <c r="K34" s="83" t="s">
        <v>5</v>
      </c>
      <c r="L34" s="83">
        <v>11111111</v>
      </c>
      <c r="M34" s="83">
        <v>13</v>
      </c>
      <c r="N34" s="83">
        <v>1</v>
      </c>
    </row>
    <row r="35" spans="1:14" x14ac:dyDescent="0.25">
      <c r="A35" s="55">
        <v>7</v>
      </c>
      <c r="B35" s="83" t="s">
        <v>36</v>
      </c>
      <c r="C35" s="83" t="s">
        <v>37</v>
      </c>
      <c r="D35" s="83"/>
      <c r="E35" s="83">
        <v>1111111</v>
      </c>
      <c r="F35" s="47" t="s">
        <v>91</v>
      </c>
      <c r="G35" s="55"/>
      <c r="H35" s="83"/>
      <c r="I35" s="83">
        <v>6</v>
      </c>
      <c r="J35" s="83" t="s">
        <v>36</v>
      </c>
      <c r="K35" s="83" t="s">
        <v>37</v>
      </c>
      <c r="L35" s="83">
        <v>1111111</v>
      </c>
      <c r="M35" s="83">
        <v>5</v>
      </c>
      <c r="N35" s="83">
        <v>12</v>
      </c>
    </row>
    <row r="36" spans="1:14" x14ac:dyDescent="0.25">
      <c r="A36" s="55">
        <v>7</v>
      </c>
      <c r="B36" s="83" t="s">
        <v>20</v>
      </c>
      <c r="C36" s="83" t="s">
        <v>21</v>
      </c>
      <c r="D36" s="83"/>
      <c r="E36" s="83">
        <v>1111111</v>
      </c>
      <c r="F36" s="47" t="s">
        <v>92</v>
      </c>
      <c r="G36" s="55"/>
      <c r="H36" s="83"/>
      <c r="I36" s="83">
        <v>7</v>
      </c>
      <c r="J36" s="83" t="s">
        <v>20</v>
      </c>
      <c r="K36" s="83" t="s">
        <v>21</v>
      </c>
      <c r="L36" s="83">
        <v>1111111</v>
      </c>
      <c r="M36" s="83">
        <v>6</v>
      </c>
      <c r="N36" s="83">
        <v>5</v>
      </c>
    </row>
    <row r="37" spans="1:14" x14ac:dyDescent="0.25">
      <c r="A37" s="55">
        <v>7</v>
      </c>
      <c r="B37" s="83" t="s">
        <v>40</v>
      </c>
      <c r="C37" s="83" t="s">
        <v>41</v>
      </c>
      <c r="D37" s="83"/>
      <c r="E37" s="83">
        <v>1111111</v>
      </c>
      <c r="F37" s="47" t="s">
        <v>93</v>
      </c>
      <c r="G37" s="55"/>
      <c r="H37" s="83"/>
      <c r="I37" s="83">
        <v>8</v>
      </c>
      <c r="J37" s="83" t="s">
        <v>40</v>
      </c>
      <c r="K37" s="83" t="s">
        <v>41</v>
      </c>
      <c r="L37" s="83">
        <v>1111111</v>
      </c>
      <c r="M37" s="83">
        <v>10</v>
      </c>
      <c r="N37" s="83">
        <v>7</v>
      </c>
    </row>
    <row r="38" spans="1:14" x14ac:dyDescent="0.25">
      <c r="A38" s="55">
        <v>7</v>
      </c>
      <c r="B38" s="83" t="s">
        <v>16</v>
      </c>
      <c r="C38" s="83" t="s">
        <v>17</v>
      </c>
      <c r="D38" s="83"/>
      <c r="E38" s="83">
        <v>1111111</v>
      </c>
      <c r="F38" s="47" t="s">
        <v>94</v>
      </c>
      <c r="G38" s="55"/>
      <c r="H38" s="83"/>
      <c r="I38" s="83">
        <v>9</v>
      </c>
      <c r="J38" s="83" t="s">
        <v>16</v>
      </c>
      <c r="K38" s="83" t="s">
        <v>17</v>
      </c>
      <c r="L38" s="83">
        <v>1111111</v>
      </c>
      <c r="M38" s="83">
        <v>16</v>
      </c>
      <c r="N38" s="83">
        <v>2</v>
      </c>
    </row>
    <row r="39" spans="1:14" x14ac:dyDescent="0.25">
      <c r="A39" s="55">
        <v>6</v>
      </c>
      <c r="B39" s="83" t="s">
        <v>6</v>
      </c>
      <c r="C39" s="83" t="s">
        <v>7</v>
      </c>
      <c r="D39" s="83"/>
      <c r="E39" s="83">
        <v>111111</v>
      </c>
      <c r="F39" s="47" t="s">
        <v>95</v>
      </c>
      <c r="G39" s="55"/>
      <c r="H39" s="83"/>
      <c r="I39" s="83">
        <v>10</v>
      </c>
      <c r="J39" s="83" t="s">
        <v>6</v>
      </c>
      <c r="K39" s="83" t="s">
        <v>7</v>
      </c>
      <c r="L39" s="83">
        <v>111111</v>
      </c>
      <c r="M39" s="83">
        <v>4</v>
      </c>
      <c r="N39" s="83">
        <v>15</v>
      </c>
    </row>
    <row r="40" spans="1:14" x14ac:dyDescent="0.25">
      <c r="A40" s="55">
        <v>6</v>
      </c>
      <c r="B40" s="83" t="s">
        <v>30</v>
      </c>
      <c r="C40" s="83" t="s">
        <v>64</v>
      </c>
      <c r="D40" s="83"/>
      <c r="E40" s="83">
        <v>111111</v>
      </c>
      <c r="F40" s="47" t="s">
        <v>96</v>
      </c>
      <c r="G40" s="55"/>
      <c r="H40" s="83"/>
      <c r="I40" s="83"/>
      <c r="J40" s="83"/>
      <c r="K40" s="83"/>
      <c r="L40" s="83"/>
      <c r="M40" s="83"/>
      <c r="N40" s="83"/>
    </row>
    <row r="41" spans="1:14" x14ac:dyDescent="0.25">
      <c r="A41" s="55">
        <v>5</v>
      </c>
      <c r="B41" s="83" t="s">
        <v>38</v>
      </c>
      <c r="C41" s="83" t="s">
        <v>69</v>
      </c>
      <c r="D41" s="83"/>
      <c r="E41" s="83">
        <v>11111</v>
      </c>
      <c r="F41" s="47" t="s">
        <v>70</v>
      </c>
      <c r="G41" s="55"/>
      <c r="H41" s="83"/>
      <c r="I41" s="83"/>
      <c r="J41" s="83"/>
      <c r="K41" s="83"/>
      <c r="L41" s="83"/>
      <c r="M41" s="83"/>
      <c r="N41" s="83"/>
    </row>
    <row r="42" spans="1:14" x14ac:dyDescent="0.25">
      <c r="A42" s="55">
        <v>5</v>
      </c>
      <c r="B42" s="83" t="s">
        <v>10</v>
      </c>
      <c r="C42" s="83" t="s">
        <v>11</v>
      </c>
      <c r="D42" s="83"/>
      <c r="E42" s="83">
        <v>11111</v>
      </c>
      <c r="F42" s="47" t="s">
        <v>97</v>
      </c>
      <c r="G42" s="55"/>
      <c r="H42" s="83"/>
      <c r="I42" s="83"/>
      <c r="J42" s="83"/>
      <c r="K42" s="83"/>
      <c r="L42" s="83"/>
      <c r="M42" s="83"/>
      <c r="N42" s="83"/>
    </row>
    <row r="43" spans="1:14" x14ac:dyDescent="0.25">
      <c r="A43" s="55">
        <v>5</v>
      </c>
      <c r="B43" s="83" t="s">
        <v>48</v>
      </c>
      <c r="C43" s="83" t="s">
        <v>49</v>
      </c>
      <c r="D43" s="83"/>
      <c r="E43" s="83">
        <v>11111</v>
      </c>
      <c r="F43" s="47" t="s">
        <v>98</v>
      </c>
      <c r="G43" s="55"/>
      <c r="H43" s="83"/>
      <c r="I43" s="83"/>
      <c r="J43" s="83"/>
      <c r="K43" s="83"/>
      <c r="L43" s="83"/>
      <c r="M43" s="83"/>
      <c r="N43" s="83"/>
    </row>
    <row r="44" spans="1:14" x14ac:dyDescent="0.25">
      <c r="A44" s="55">
        <v>4</v>
      </c>
      <c r="B44" s="83" t="s">
        <v>8</v>
      </c>
      <c r="C44" s="83" t="s">
        <v>68</v>
      </c>
      <c r="D44" s="83"/>
      <c r="E44" s="83">
        <v>1111</v>
      </c>
      <c r="F44" s="47" t="s">
        <v>99</v>
      </c>
      <c r="G44" s="55"/>
      <c r="H44" s="83"/>
      <c r="I44" s="83"/>
      <c r="J44" s="83"/>
      <c r="K44" s="83"/>
      <c r="L44" s="83"/>
      <c r="M44" s="83"/>
      <c r="N44" s="83"/>
    </row>
    <row r="45" spans="1:14" x14ac:dyDescent="0.25">
      <c r="A45" s="55">
        <v>3</v>
      </c>
      <c r="B45" s="83" t="s">
        <v>14</v>
      </c>
      <c r="C45" s="83" t="s">
        <v>15</v>
      </c>
      <c r="D45" s="83"/>
      <c r="E45" s="83">
        <v>111</v>
      </c>
      <c r="F45" s="83">
        <v>3</v>
      </c>
      <c r="G45" s="55"/>
      <c r="H45" s="83"/>
      <c r="I45" s="83"/>
      <c r="J45" s="83"/>
      <c r="K45" s="83"/>
      <c r="L45" s="83"/>
      <c r="M45" s="83"/>
      <c r="N45" s="83"/>
    </row>
    <row r="46" spans="1:14" x14ac:dyDescent="0.25">
      <c r="A46" s="55">
        <v>3</v>
      </c>
      <c r="B46" s="83" t="s">
        <v>26</v>
      </c>
      <c r="C46" s="83"/>
      <c r="D46" s="83"/>
      <c r="E46" s="83">
        <v>111</v>
      </c>
      <c r="F46" s="47" t="s">
        <v>100</v>
      </c>
      <c r="G46" s="55"/>
      <c r="H46" s="83"/>
      <c r="I46" s="83"/>
      <c r="J46" s="83"/>
      <c r="K46" s="83"/>
      <c r="L46" s="83"/>
      <c r="M46" s="83"/>
      <c r="N46" s="83"/>
    </row>
    <row r="47" spans="1:14" x14ac:dyDescent="0.25">
      <c r="A47" s="55">
        <v>2</v>
      </c>
      <c r="B47" s="83" t="s">
        <v>18</v>
      </c>
      <c r="C47" s="83" t="s">
        <v>76</v>
      </c>
      <c r="D47" s="83"/>
      <c r="E47" s="83">
        <v>11</v>
      </c>
      <c r="F47" s="83">
        <v>5</v>
      </c>
      <c r="G47" s="55"/>
      <c r="H47" s="83"/>
      <c r="I47" s="83"/>
      <c r="J47" s="83"/>
      <c r="K47" s="83"/>
      <c r="L47" s="83"/>
      <c r="M47" s="83"/>
      <c r="N47" s="83"/>
    </row>
    <row r="48" spans="1:14" x14ac:dyDescent="0.25">
      <c r="A48" s="55">
        <v>2</v>
      </c>
      <c r="B48" s="83" t="s">
        <v>46</v>
      </c>
      <c r="C48" s="83" t="s">
        <v>47</v>
      </c>
      <c r="D48" s="83"/>
      <c r="E48" s="83">
        <v>11</v>
      </c>
      <c r="F48" s="83">
        <v>5</v>
      </c>
      <c r="G48" s="55"/>
      <c r="H48" s="83"/>
      <c r="I48" s="83"/>
      <c r="J48" s="83"/>
      <c r="K48" s="83"/>
      <c r="L48" s="83"/>
      <c r="M48" s="83"/>
      <c r="N48" s="83"/>
    </row>
    <row r="49" spans="1:18" x14ac:dyDescent="0.25">
      <c r="A49" s="55">
        <v>1</v>
      </c>
      <c r="B49" s="83" t="s">
        <v>42</v>
      </c>
      <c r="C49" s="83"/>
      <c r="D49" s="83"/>
      <c r="E49" s="83">
        <v>1</v>
      </c>
      <c r="F49" s="83">
        <v>5</v>
      </c>
      <c r="G49" s="55"/>
      <c r="H49" s="83"/>
      <c r="I49" s="83"/>
      <c r="J49" s="83"/>
      <c r="K49" s="83"/>
      <c r="L49" s="83"/>
      <c r="M49" s="83"/>
      <c r="N49" s="83"/>
      <c r="O49" s="83"/>
      <c r="P49" s="83"/>
      <c r="Q49" s="83"/>
      <c r="R49" s="83"/>
    </row>
    <row r="50" spans="1:18" x14ac:dyDescent="0.25">
      <c r="A50" s="83"/>
      <c r="B50" s="83" t="s">
        <v>12</v>
      </c>
      <c r="C50" s="83"/>
      <c r="D50" s="83"/>
      <c r="E50" s="83">
        <v>0</v>
      </c>
      <c r="F50" s="83">
        <v>0</v>
      </c>
      <c r="G50" s="83"/>
      <c r="H50" s="83"/>
      <c r="I50" s="83"/>
      <c r="J50" s="83"/>
      <c r="K50" s="83"/>
      <c r="L50" s="83"/>
      <c r="M50" s="83"/>
      <c r="N50" s="83"/>
      <c r="O50" s="83"/>
      <c r="P50" s="83"/>
      <c r="Q50" s="83"/>
      <c r="R50" s="83"/>
    </row>
    <row r="51" spans="1:18" x14ac:dyDescent="0.25">
      <c r="A51" s="83"/>
      <c r="B51" s="83" t="s">
        <v>22</v>
      </c>
      <c r="C51" s="83"/>
      <c r="D51" s="83"/>
      <c r="E51" s="83">
        <v>0</v>
      </c>
      <c r="F51" s="83">
        <v>0</v>
      </c>
      <c r="G51" s="83"/>
      <c r="H51" s="83"/>
      <c r="I51" s="83"/>
      <c r="J51" s="83"/>
      <c r="K51" s="83"/>
      <c r="L51" s="83"/>
      <c r="M51" s="83"/>
      <c r="N51" s="83"/>
      <c r="O51" s="83"/>
      <c r="P51" s="83"/>
      <c r="Q51" s="83"/>
      <c r="R51" s="83"/>
    </row>
    <row r="52" spans="1:18" x14ac:dyDescent="0.25">
      <c r="A52" s="83"/>
      <c r="B52" s="83" t="s">
        <v>24</v>
      </c>
      <c r="C52" s="83"/>
      <c r="D52" s="83"/>
      <c r="E52" s="83">
        <v>0</v>
      </c>
      <c r="F52" s="83">
        <v>0</v>
      </c>
      <c r="G52" s="83"/>
      <c r="H52" s="83"/>
      <c r="I52" s="83"/>
      <c r="J52" s="83"/>
      <c r="K52" s="83"/>
      <c r="L52" s="83"/>
      <c r="M52" s="83"/>
      <c r="N52" s="83"/>
      <c r="O52" s="83"/>
      <c r="P52" s="83"/>
      <c r="Q52" s="83"/>
      <c r="R52" s="83"/>
    </row>
    <row r="53" spans="1:18" s="48" customFormat="1" x14ac:dyDescent="0.25">
      <c r="A53" s="83"/>
      <c r="B53" s="83"/>
      <c r="C53" s="83"/>
      <c r="D53" s="83"/>
      <c r="E53" s="83"/>
      <c r="F53" s="83"/>
      <c r="G53" s="83"/>
      <c r="H53" s="83"/>
      <c r="I53" s="83"/>
      <c r="J53" s="83"/>
      <c r="K53" s="83"/>
      <c r="L53" s="83"/>
      <c r="M53" s="83"/>
      <c r="N53" s="83"/>
      <c r="O53" s="83"/>
      <c r="P53" s="83"/>
      <c r="Q53" s="83"/>
      <c r="R53" s="83"/>
    </row>
    <row r="54" spans="1:18" s="48" customFormat="1" x14ac:dyDescent="0.25">
      <c r="A54" s="83"/>
      <c r="B54" s="83"/>
      <c r="C54" s="83"/>
      <c r="D54" s="83"/>
      <c r="E54" s="83"/>
      <c r="F54" s="83"/>
      <c r="G54" s="83"/>
      <c r="H54" s="83"/>
      <c r="I54" s="83"/>
      <c r="J54" s="83"/>
      <c r="K54" s="83"/>
      <c r="L54" s="83"/>
      <c r="M54" s="83"/>
      <c r="N54" s="83"/>
      <c r="O54" s="83"/>
      <c r="P54" s="83"/>
      <c r="Q54" s="83"/>
      <c r="R54" s="83"/>
    </row>
    <row r="55" spans="1:18" x14ac:dyDescent="0.25">
      <c r="A55" s="60" t="s">
        <v>101</v>
      </c>
      <c r="B55" s="61"/>
      <c r="C55" s="61"/>
      <c r="D55" s="61"/>
      <c r="E55" s="61"/>
      <c r="F55" s="61"/>
      <c r="G55" s="61"/>
      <c r="H55" s="61"/>
      <c r="I55" s="61"/>
      <c r="J55" s="61"/>
      <c r="K55" s="61"/>
      <c r="L55" s="61"/>
      <c r="M55" s="61"/>
      <c r="N55" s="61"/>
      <c r="O55" s="61"/>
      <c r="P55" s="61"/>
      <c r="Q55" s="61"/>
      <c r="R55" s="61"/>
    </row>
    <row r="56" spans="1:18" x14ac:dyDescent="0.25">
      <c r="A56" s="61" t="s">
        <v>102</v>
      </c>
      <c r="B56" s="83"/>
      <c r="C56" s="83"/>
      <c r="D56" s="83"/>
      <c r="E56" s="83"/>
      <c r="F56" s="83"/>
      <c r="G56" s="83"/>
      <c r="H56" s="83"/>
      <c r="I56" s="83"/>
      <c r="J56" s="83"/>
      <c r="K56" s="83"/>
      <c r="L56" s="83"/>
      <c r="M56" s="83"/>
      <c r="N56" s="83"/>
      <c r="O56" s="83"/>
      <c r="P56" s="83"/>
      <c r="Q56" s="83"/>
      <c r="R56" s="83"/>
    </row>
    <row r="57" spans="1:18" s="48" customFormat="1" x14ac:dyDescent="0.25">
      <c r="A57" s="61"/>
      <c r="B57" s="83"/>
      <c r="C57" s="83"/>
      <c r="D57" s="83"/>
      <c r="E57" s="83"/>
      <c r="F57" s="83"/>
      <c r="G57" s="83"/>
      <c r="H57" s="83"/>
      <c r="I57" s="83"/>
      <c r="J57" s="83"/>
      <c r="K57" s="83"/>
      <c r="L57" s="83"/>
      <c r="M57" s="83"/>
      <c r="N57" s="83"/>
      <c r="O57" s="83"/>
      <c r="P57" s="83"/>
      <c r="Q57" s="83"/>
      <c r="R57" s="83"/>
    </row>
    <row r="58" spans="1:18" x14ac:dyDescent="0.25">
      <c r="A58" s="83"/>
      <c r="B58" s="83" t="s">
        <v>103</v>
      </c>
      <c r="C58" s="83" t="s">
        <v>104</v>
      </c>
      <c r="D58" s="83" t="s">
        <v>105</v>
      </c>
      <c r="E58" s="58" t="s">
        <v>106</v>
      </c>
      <c r="F58" s="83" t="s">
        <v>52</v>
      </c>
      <c r="G58" s="83" t="s">
        <v>107</v>
      </c>
      <c r="H58" s="63" t="s">
        <v>108</v>
      </c>
      <c r="I58" s="83"/>
      <c r="J58" s="83"/>
      <c r="K58" s="83"/>
      <c r="L58" s="83"/>
      <c r="M58" s="83"/>
      <c r="N58" s="83"/>
      <c r="O58" s="83"/>
      <c r="P58" s="83"/>
      <c r="Q58" s="83"/>
      <c r="R58" s="83"/>
    </row>
    <row r="59" spans="1:18" x14ac:dyDescent="0.25">
      <c r="A59" s="83"/>
      <c r="B59" s="83">
        <v>16</v>
      </c>
      <c r="C59" s="55">
        <v>10</v>
      </c>
      <c r="D59" s="83" t="s">
        <v>109</v>
      </c>
      <c r="E59" s="57">
        <v>1</v>
      </c>
      <c r="F59" s="83" t="s">
        <v>110</v>
      </c>
      <c r="G59" s="83" t="s">
        <v>111</v>
      </c>
      <c r="H59" s="55" t="s">
        <v>112</v>
      </c>
      <c r="I59" s="83">
        <v>18</v>
      </c>
      <c r="J59" s="62"/>
      <c r="K59" s="62"/>
      <c r="L59" s="62"/>
      <c r="M59" s="62"/>
      <c r="N59" s="62"/>
      <c r="O59" s="62"/>
      <c r="P59" s="62"/>
      <c r="Q59" s="83"/>
      <c r="R59" s="83"/>
    </row>
    <row r="60" spans="1:18" x14ac:dyDescent="0.25">
      <c r="A60" s="83"/>
      <c r="B60" s="83">
        <v>16</v>
      </c>
      <c r="C60" s="55">
        <v>9</v>
      </c>
      <c r="D60" s="83" t="s">
        <v>109</v>
      </c>
      <c r="E60" s="59" t="s">
        <v>74</v>
      </c>
      <c r="F60" s="83" t="s">
        <v>113</v>
      </c>
      <c r="G60" s="83" t="s">
        <v>32</v>
      </c>
      <c r="H60" s="55" t="s">
        <v>112</v>
      </c>
      <c r="I60" s="83">
        <v>17</v>
      </c>
      <c r="J60" s="62"/>
      <c r="K60" s="62"/>
      <c r="L60" s="62"/>
      <c r="M60" s="62"/>
      <c r="N60" s="62"/>
      <c r="O60" s="62"/>
      <c r="P60" s="62"/>
      <c r="Q60" s="83"/>
      <c r="R60" s="83"/>
    </row>
    <row r="61" spans="1:18" hidden="1" x14ac:dyDescent="0.25">
      <c r="A61" s="83"/>
      <c r="B61" s="83">
        <v>15</v>
      </c>
      <c r="C61" s="55">
        <v>9</v>
      </c>
      <c r="D61" s="83" t="s">
        <v>109</v>
      </c>
      <c r="E61" s="57">
        <v>1</v>
      </c>
      <c r="F61" s="83" t="s">
        <v>114</v>
      </c>
      <c r="G61" s="83" t="s">
        <v>115</v>
      </c>
      <c r="H61" s="55" t="s">
        <v>112</v>
      </c>
      <c r="I61" s="83"/>
      <c r="J61" s="62"/>
      <c r="K61" s="62"/>
      <c r="L61" s="62"/>
      <c r="M61" s="62"/>
      <c r="N61" s="62"/>
      <c r="O61" s="62"/>
      <c r="P61" s="62"/>
      <c r="Q61" s="83"/>
      <c r="R61" s="83"/>
    </row>
    <row r="62" spans="1:18" hidden="1" x14ac:dyDescent="0.25">
      <c r="A62" s="62"/>
      <c r="B62" s="66">
        <v>18</v>
      </c>
      <c r="C62" s="66">
        <v>8</v>
      </c>
      <c r="D62" s="62" t="s">
        <v>116</v>
      </c>
      <c r="E62" s="57">
        <v>1</v>
      </c>
      <c r="F62" s="62">
        <v>18</v>
      </c>
      <c r="G62" s="62" t="s">
        <v>117</v>
      </c>
      <c r="H62" s="66" t="s">
        <v>112</v>
      </c>
      <c r="I62" s="83"/>
      <c r="J62" s="62"/>
      <c r="K62" s="62"/>
      <c r="L62" s="62"/>
      <c r="M62" s="62"/>
      <c r="N62" s="62"/>
      <c r="O62" s="62"/>
      <c r="P62" s="62"/>
      <c r="Q62" s="83"/>
      <c r="R62" s="83"/>
    </row>
    <row r="63" spans="1:18" x14ac:dyDescent="0.25">
      <c r="A63" s="62"/>
      <c r="B63" s="66">
        <v>18</v>
      </c>
      <c r="C63" s="66">
        <v>7</v>
      </c>
      <c r="D63" s="62">
        <v>1</v>
      </c>
      <c r="E63" s="57">
        <v>1</v>
      </c>
      <c r="F63" s="62">
        <v>1.2</v>
      </c>
      <c r="G63" s="62" t="s">
        <v>40</v>
      </c>
      <c r="H63" s="66" t="s">
        <v>112</v>
      </c>
      <c r="I63" s="62">
        <v>5</v>
      </c>
      <c r="J63" s="62"/>
      <c r="K63" s="62"/>
      <c r="L63" s="62"/>
      <c r="M63" s="62"/>
      <c r="N63" s="62"/>
      <c r="O63" s="62"/>
      <c r="P63" s="62"/>
      <c r="Q63" s="83"/>
      <c r="R63" s="83"/>
    </row>
    <row r="64" spans="1:18" x14ac:dyDescent="0.25">
      <c r="A64" s="62"/>
      <c r="B64" s="62">
        <v>17</v>
      </c>
      <c r="C64" s="66">
        <v>7</v>
      </c>
      <c r="D64" s="62">
        <v>1</v>
      </c>
      <c r="E64" s="57">
        <v>1</v>
      </c>
      <c r="F64" s="62" t="s">
        <v>118</v>
      </c>
      <c r="G64" s="62" t="s">
        <v>36</v>
      </c>
      <c r="H64" s="66" t="s">
        <v>112</v>
      </c>
      <c r="I64" s="83">
        <v>16</v>
      </c>
      <c r="J64" s="62"/>
      <c r="K64" s="62"/>
      <c r="L64" s="62"/>
      <c r="M64" s="62"/>
      <c r="N64" s="62"/>
      <c r="O64" s="62"/>
      <c r="P64" s="62"/>
      <c r="Q64" s="83"/>
      <c r="R64" s="83"/>
    </row>
    <row r="65" spans="1:16" x14ac:dyDescent="0.25">
      <c r="A65" s="62"/>
      <c r="B65" s="62">
        <v>14</v>
      </c>
      <c r="C65" s="66">
        <v>7</v>
      </c>
      <c r="D65" s="62">
        <v>1</v>
      </c>
      <c r="E65" s="57">
        <v>1</v>
      </c>
      <c r="F65" s="62" t="s">
        <v>119</v>
      </c>
      <c r="G65" s="62" t="s">
        <v>20</v>
      </c>
      <c r="H65" s="66" t="s">
        <v>112</v>
      </c>
      <c r="I65" s="83">
        <v>20</v>
      </c>
      <c r="J65" s="62"/>
      <c r="K65" s="62"/>
      <c r="L65" s="62"/>
      <c r="M65" s="62"/>
      <c r="N65" s="62"/>
      <c r="O65" s="62"/>
      <c r="P65" s="62"/>
    </row>
    <row r="66" spans="1:16" hidden="1" x14ac:dyDescent="0.25">
      <c r="A66" s="62"/>
      <c r="B66" s="62">
        <v>12</v>
      </c>
      <c r="C66" s="66">
        <v>7</v>
      </c>
      <c r="D66" s="62">
        <v>1</v>
      </c>
      <c r="E66" s="57">
        <v>1</v>
      </c>
      <c r="F66" s="62" t="s">
        <v>120</v>
      </c>
      <c r="G66" s="62" t="s">
        <v>16</v>
      </c>
      <c r="H66" s="66" t="s">
        <v>112</v>
      </c>
      <c r="I66" s="83"/>
      <c r="J66" s="62"/>
      <c r="K66" s="62"/>
      <c r="L66" s="62"/>
      <c r="M66" s="62"/>
      <c r="N66" s="62"/>
      <c r="O66" s="62"/>
      <c r="P66" s="62"/>
    </row>
    <row r="67" spans="1:16" hidden="1" x14ac:dyDescent="0.25">
      <c r="A67" s="62"/>
      <c r="B67" s="62">
        <v>16</v>
      </c>
      <c r="C67" s="66">
        <v>6</v>
      </c>
      <c r="D67" s="62">
        <v>7</v>
      </c>
      <c r="E67" s="57">
        <v>2</v>
      </c>
      <c r="F67" s="62" t="s">
        <v>121</v>
      </c>
      <c r="G67" s="62" t="s">
        <v>30</v>
      </c>
      <c r="H67" s="66"/>
      <c r="I67" s="83"/>
      <c r="J67" s="62"/>
      <c r="K67" s="62"/>
      <c r="L67" s="62"/>
      <c r="M67" s="62"/>
      <c r="N67" s="62"/>
      <c r="O67" s="62"/>
      <c r="P67" s="62"/>
    </row>
    <row r="68" spans="1:16" x14ac:dyDescent="0.25">
      <c r="A68" s="62"/>
      <c r="B68" s="66">
        <v>20</v>
      </c>
      <c r="C68" s="66">
        <v>5</v>
      </c>
      <c r="D68" s="62">
        <v>8</v>
      </c>
      <c r="E68" s="57">
        <v>1</v>
      </c>
      <c r="F68" s="62" t="s">
        <v>122</v>
      </c>
      <c r="G68" s="62" t="s">
        <v>48</v>
      </c>
      <c r="H68" s="66" t="s">
        <v>112</v>
      </c>
      <c r="I68" s="83">
        <v>2</v>
      </c>
      <c r="J68" s="62"/>
      <c r="K68" s="62"/>
      <c r="L68" s="62"/>
      <c r="M68" s="62"/>
      <c r="N68" s="62"/>
      <c r="O68" s="62"/>
      <c r="P68" s="62"/>
    </row>
    <row r="69" spans="1:16" x14ac:dyDescent="0.25">
      <c r="A69" s="62"/>
      <c r="B69" s="66">
        <v>18</v>
      </c>
      <c r="C69" s="66">
        <v>5</v>
      </c>
      <c r="D69" s="62">
        <v>1</v>
      </c>
      <c r="E69" s="57">
        <v>1</v>
      </c>
      <c r="F69" s="62" t="s">
        <v>123</v>
      </c>
      <c r="G69" s="62" t="s">
        <v>38</v>
      </c>
      <c r="H69" s="66" t="s">
        <v>112</v>
      </c>
      <c r="I69" s="83">
        <v>6</v>
      </c>
      <c r="J69" s="62"/>
      <c r="K69" s="62"/>
      <c r="L69" s="62"/>
      <c r="M69" s="62"/>
      <c r="N69" s="62"/>
      <c r="O69" s="62"/>
      <c r="P69" s="62"/>
    </row>
    <row r="70" spans="1:16" hidden="1" x14ac:dyDescent="0.25">
      <c r="A70" s="62"/>
      <c r="B70" s="62">
        <v>10</v>
      </c>
      <c r="C70" s="66">
        <v>5</v>
      </c>
      <c r="D70" s="62">
        <v>1</v>
      </c>
      <c r="E70" s="57">
        <v>1</v>
      </c>
      <c r="F70" s="62" t="s">
        <v>124</v>
      </c>
      <c r="G70" s="62" t="s">
        <v>10</v>
      </c>
      <c r="H70" s="66" t="s">
        <v>112</v>
      </c>
      <c r="I70" s="83"/>
      <c r="J70" s="62"/>
      <c r="K70" s="62"/>
      <c r="L70" s="62"/>
      <c r="M70" s="62"/>
      <c r="N70" s="62"/>
      <c r="O70" s="62"/>
      <c r="P70" s="62"/>
    </row>
    <row r="71" spans="1:16" hidden="1" x14ac:dyDescent="0.25">
      <c r="A71" s="62"/>
      <c r="B71" s="62">
        <v>15</v>
      </c>
      <c r="C71" s="62">
        <v>3</v>
      </c>
      <c r="D71" s="62">
        <v>8</v>
      </c>
      <c r="E71" s="57">
        <v>3</v>
      </c>
      <c r="F71" s="62" t="s">
        <v>125</v>
      </c>
      <c r="G71" s="62" t="s">
        <v>26</v>
      </c>
      <c r="H71" s="66"/>
      <c r="I71" s="83"/>
      <c r="J71" s="62"/>
      <c r="K71" s="62"/>
      <c r="L71" s="62"/>
      <c r="M71" s="62"/>
      <c r="N71" s="62"/>
      <c r="O71" s="62"/>
      <c r="P71" s="62"/>
    </row>
    <row r="72" spans="1:16" hidden="1" x14ac:dyDescent="0.25">
      <c r="A72" s="62"/>
      <c r="B72" s="62">
        <v>10</v>
      </c>
      <c r="C72" s="62">
        <v>3</v>
      </c>
      <c r="D72" s="62" t="s">
        <v>109</v>
      </c>
      <c r="E72" s="57">
        <v>3</v>
      </c>
      <c r="F72" s="62" t="s">
        <v>126</v>
      </c>
      <c r="G72" s="62" t="s">
        <v>127</v>
      </c>
      <c r="H72" s="66"/>
      <c r="I72" s="83"/>
      <c r="J72" s="62"/>
      <c r="K72" s="62"/>
      <c r="L72" s="62"/>
      <c r="M72" s="62"/>
      <c r="N72" s="62"/>
      <c r="O72" s="62"/>
      <c r="P72" s="62"/>
    </row>
    <row r="73" spans="1:16" x14ac:dyDescent="0.25">
      <c r="A73" s="62"/>
      <c r="B73" s="66">
        <v>19</v>
      </c>
      <c r="C73" s="62">
        <v>2</v>
      </c>
      <c r="D73" s="62">
        <v>5</v>
      </c>
      <c r="E73" s="57">
        <v>3</v>
      </c>
      <c r="F73" s="62" t="s">
        <v>128</v>
      </c>
      <c r="G73" s="62" t="s">
        <v>46</v>
      </c>
      <c r="H73" s="66" t="s">
        <v>112</v>
      </c>
      <c r="I73" s="83">
        <v>4</v>
      </c>
      <c r="J73" s="62"/>
      <c r="K73" s="62"/>
      <c r="L73" s="62"/>
      <c r="M73" s="62"/>
      <c r="N73" s="62"/>
      <c r="O73" s="62"/>
      <c r="P73" s="62"/>
    </row>
    <row r="74" spans="1:16" hidden="1" x14ac:dyDescent="0.25">
      <c r="A74" s="62"/>
      <c r="B74" s="62">
        <v>13</v>
      </c>
      <c r="C74" s="62">
        <v>2</v>
      </c>
      <c r="D74" s="62">
        <v>2</v>
      </c>
      <c r="E74" s="57">
        <v>3</v>
      </c>
      <c r="F74" s="62" t="s">
        <v>129</v>
      </c>
      <c r="G74" s="62" t="s">
        <v>18</v>
      </c>
      <c r="H74" s="66"/>
      <c r="I74" s="83"/>
      <c r="J74" s="62"/>
      <c r="K74" s="62"/>
      <c r="L74" s="62"/>
      <c r="M74" s="62"/>
      <c r="N74" s="62"/>
      <c r="O74" s="62"/>
      <c r="P74" s="62"/>
    </row>
    <row r="75" spans="1:16" x14ac:dyDescent="0.25">
      <c r="A75" s="62"/>
      <c r="B75" s="66">
        <v>18</v>
      </c>
      <c r="C75" s="62">
        <v>1</v>
      </c>
      <c r="D75" s="62">
        <v>6</v>
      </c>
      <c r="E75" s="57" t="s">
        <v>130</v>
      </c>
      <c r="F75" s="62" t="s">
        <v>131</v>
      </c>
      <c r="G75" s="62" t="s">
        <v>42</v>
      </c>
      <c r="H75" s="66" t="s">
        <v>112</v>
      </c>
      <c r="I75" s="83">
        <v>7</v>
      </c>
      <c r="J75" s="62"/>
      <c r="K75" s="62"/>
      <c r="L75" s="62"/>
      <c r="M75" s="62"/>
      <c r="N75" s="62"/>
      <c r="O75" s="62"/>
      <c r="P75" s="62"/>
    </row>
    <row r="76" spans="1:16" hidden="1" x14ac:dyDescent="0.25">
      <c r="A76" s="62"/>
      <c r="B76" s="66">
        <v>20</v>
      </c>
      <c r="C76" s="62"/>
      <c r="D76" s="62">
        <v>4</v>
      </c>
      <c r="E76" s="57" t="s">
        <v>132</v>
      </c>
      <c r="F76" s="62" t="s">
        <v>133</v>
      </c>
      <c r="G76" s="62" t="s">
        <v>134</v>
      </c>
      <c r="H76" s="66"/>
      <c r="I76" s="83"/>
      <c r="J76" s="62"/>
      <c r="K76" s="62"/>
      <c r="L76" s="62"/>
      <c r="M76" s="62"/>
      <c r="N76" s="62"/>
      <c r="O76" s="62"/>
      <c r="P76" s="62"/>
    </row>
    <row r="77" spans="1:16" hidden="1" x14ac:dyDescent="0.25">
      <c r="A77" s="62"/>
      <c r="B77" s="66">
        <v>20</v>
      </c>
      <c r="C77" s="62"/>
      <c r="D77" s="62">
        <v>4</v>
      </c>
      <c r="E77" s="57" t="s">
        <v>132</v>
      </c>
      <c r="F77" s="62" t="s">
        <v>135</v>
      </c>
      <c r="G77" s="62" t="s">
        <v>136</v>
      </c>
      <c r="H77" s="66"/>
      <c r="I77" s="83"/>
      <c r="J77" s="62"/>
      <c r="K77" s="62"/>
      <c r="L77" s="62"/>
      <c r="M77" s="62"/>
      <c r="N77" s="62"/>
      <c r="O77" s="62"/>
      <c r="P77" s="62"/>
    </row>
    <row r="78" spans="1:16" hidden="1" x14ac:dyDescent="0.25">
      <c r="A78" s="62"/>
      <c r="B78" s="66">
        <v>20</v>
      </c>
      <c r="C78" s="62"/>
      <c r="D78" s="62">
        <v>8</v>
      </c>
      <c r="E78" s="57" t="s">
        <v>132</v>
      </c>
      <c r="F78" s="62" t="s">
        <v>137</v>
      </c>
      <c r="G78" s="62" t="s">
        <v>138</v>
      </c>
      <c r="H78" s="66"/>
      <c r="I78" s="83"/>
      <c r="J78" s="62"/>
      <c r="K78" s="62"/>
      <c r="L78" s="62"/>
      <c r="M78" s="62"/>
      <c r="N78" s="62"/>
      <c r="O78" s="62"/>
      <c r="P78" s="62"/>
    </row>
    <row r="79" spans="1:16" x14ac:dyDescent="0.25">
      <c r="A79" s="62"/>
      <c r="B79" s="66">
        <v>20</v>
      </c>
      <c r="C79" s="62"/>
      <c r="D79" s="67">
        <v>8</v>
      </c>
      <c r="E79" s="57">
        <v>1</v>
      </c>
      <c r="F79" s="62" t="s">
        <v>139</v>
      </c>
      <c r="G79" s="62" t="s">
        <v>140</v>
      </c>
      <c r="H79" s="66" t="s">
        <v>112</v>
      </c>
      <c r="I79" s="83">
        <v>1</v>
      </c>
      <c r="J79" s="62"/>
      <c r="K79" s="62"/>
      <c r="L79" s="62"/>
      <c r="M79" s="62"/>
      <c r="N79" s="62"/>
      <c r="O79" s="62"/>
      <c r="P79" s="62"/>
    </row>
    <row r="80" spans="1:16" x14ac:dyDescent="0.25">
      <c r="A80" s="62"/>
      <c r="B80" s="66">
        <v>19</v>
      </c>
      <c r="C80" s="62"/>
      <c r="D80" s="62">
        <v>5</v>
      </c>
      <c r="E80" s="57">
        <v>1</v>
      </c>
      <c r="F80" s="62" t="s">
        <v>141</v>
      </c>
      <c r="G80" s="62" t="s">
        <v>142</v>
      </c>
      <c r="H80" s="66" t="s">
        <v>112</v>
      </c>
      <c r="I80" s="83">
        <v>3</v>
      </c>
      <c r="J80" s="62"/>
      <c r="K80" s="62"/>
      <c r="L80" s="62"/>
      <c r="M80" s="62"/>
      <c r="N80" s="62"/>
      <c r="O80" s="62"/>
      <c r="P80" s="62"/>
    </row>
    <row r="81" spans="1:16" hidden="1" x14ac:dyDescent="0.25">
      <c r="A81" s="62"/>
      <c r="B81" s="66">
        <v>18</v>
      </c>
      <c r="C81" s="62"/>
      <c r="D81" s="62">
        <v>2</v>
      </c>
      <c r="E81" s="57" t="s">
        <v>132</v>
      </c>
      <c r="F81" s="62" t="s">
        <v>143</v>
      </c>
      <c r="G81" s="62" t="s">
        <v>144</v>
      </c>
      <c r="H81" s="66"/>
      <c r="I81" s="83"/>
      <c r="J81" s="62"/>
      <c r="K81" s="62"/>
      <c r="L81" s="62"/>
      <c r="M81" s="62"/>
      <c r="N81" s="62"/>
      <c r="O81" s="62"/>
      <c r="P81" s="62"/>
    </row>
    <row r="82" spans="1:16" hidden="1" x14ac:dyDescent="0.25">
      <c r="A82" s="62"/>
      <c r="B82" s="66">
        <v>18</v>
      </c>
      <c r="C82" s="62"/>
      <c r="D82" s="62">
        <v>6</v>
      </c>
      <c r="E82" s="57">
        <v>1</v>
      </c>
      <c r="F82" s="62" t="s">
        <v>145</v>
      </c>
      <c r="G82" s="62" t="s">
        <v>146</v>
      </c>
      <c r="H82" s="66" t="s">
        <v>112</v>
      </c>
      <c r="I82" s="83"/>
      <c r="J82" s="62"/>
      <c r="K82" s="62"/>
      <c r="L82" s="62"/>
      <c r="M82" s="62"/>
      <c r="N82" s="62"/>
      <c r="O82" s="62"/>
      <c r="P82" s="62"/>
    </row>
    <row r="83" spans="1:16" hidden="1" x14ac:dyDescent="0.25">
      <c r="A83" s="62"/>
      <c r="B83" s="66">
        <v>18</v>
      </c>
      <c r="C83" s="62"/>
      <c r="D83" s="62" t="s">
        <v>109</v>
      </c>
      <c r="E83" s="57" t="s">
        <v>132</v>
      </c>
      <c r="F83" s="62" t="s">
        <v>147</v>
      </c>
      <c r="G83" s="62" t="s">
        <v>148</v>
      </c>
      <c r="H83" s="66"/>
      <c r="I83" s="83"/>
      <c r="J83" s="62"/>
      <c r="K83" s="62"/>
      <c r="L83" s="62"/>
      <c r="M83" s="62"/>
      <c r="N83" s="62"/>
      <c r="O83" s="62"/>
      <c r="P83" s="62"/>
    </row>
    <row r="84" spans="1:16" x14ac:dyDescent="0.25">
      <c r="A84" s="62"/>
      <c r="B84" s="66">
        <v>18</v>
      </c>
      <c r="C84" s="62"/>
      <c r="D84" s="62" t="s">
        <v>116</v>
      </c>
      <c r="E84" s="57">
        <v>1</v>
      </c>
      <c r="F84" s="62">
        <v>19</v>
      </c>
      <c r="G84" s="62" t="s">
        <v>149</v>
      </c>
      <c r="H84" s="66" t="s">
        <v>112</v>
      </c>
      <c r="I84" s="83">
        <v>8</v>
      </c>
      <c r="J84" s="62"/>
      <c r="K84" s="62"/>
      <c r="L84" s="62"/>
      <c r="M84" s="62"/>
      <c r="N84" s="62"/>
      <c r="O84" s="62"/>
      <c r="P84" s="62"/>
    </row>
    <row r="85" spans="1:16" x14ac:dyDescent="0.25">
      <c r="A85" s="62"/>
      <c r="B85" s="66">
        <v>18</v>
      </c>
      <c r="C85" s="62"/>
      <c r="D85" s="62" t="s">
        <v>116</v>
      </c>
      <c r="E85" s="57">
        <v>1</v>
      </c>
      <c r="F85" s="62">
        <v>24</v>
      </c>
      <c r="G85" s="62" t="s">
        <v>150</v>
      </c>
      <c r="H85" s="66" t="s">
        <v>112</v>
      </c>
      <c r="I85" s="83">
        <v>9</v>
      </c>
      <c r="J85" s="62"/>
      <c r="K85" s="62"/>
      <c r="L85" s="62"/>
      <c r="M85" s="62"/>
      <c r="N85" s="62"/>
      <c r="O85" s="62"/>
      <c r="P85" s="62"/>
    </row>
    <row r="86" spans="1:16" x14ac:dyDescent="0.25">
      <c r="A86" s="62"/>
      <c r="B86" s="66">
        <v>18</v>
      </c>
      <c r="C86" s="62"/>
      <c r="D86" s="62">
        <v>7</v>
      </c>
      <c r="E86" s="57">
        <v>1</v>
      </c>
      <c r="F86" s="62" t="s">
        <v>151</v>
      </c>
      <c r="G86" s="62" t="s">
        <v>152</v>
      </c>
      <c r="H86" s="66" t="s">
        <v>112</v>
      </c>
      <c r="I86" s="83">
        <v>10</v>
      </c>
      <c r="J86" s="62"/>
      <c r="K86" s="62"/>
      <c r="L86" s="62"/>
      <c r="M86" s="62"/>
      <c r="N86" s="62"/>
      <c r="O86" s="62"/>
      <c r="P86" s="62"/>
    </row>
    <row r="87" spans="1:16" x14ac:dyDescent="0.25">
      <c r="A87" s="62"/>
      <c r="B87" s="66">
        <v>18</v>
      </c>
      <c r="C87" s="62"/>
      <c r="D87" s="62">
        <v>7</v>
      </c>
      <c r="E87" s="57">
        <v>1</v>
      </c>
      <c r="F87" s="62" t="s">
        <v>153</v>
      </c>
      <c r="G87" s="62" t="s">
        <v>154</v>
      </c>
      <c r="H87" s="66" t="s">
        <v>112</v>
      </c>
      <c r="I87" s="83">
        <v>11</v>
      </c>
      <c r="J87" s="62"/>
      <c r="K87" s="62"/>
      <c r="L87" s="62"/>
      <c r="M87" s="62"/>
      <c r="N87" s="62"/>
      <c r="O87" s="62"/>
      <c r="P87" s="62"/>
    </row>
    <row r="88" spans="1:16" x14ac:dyDescent="0.25">
      <c r="A88" s="62"/>
      <c r="B88" s="66">
        <v>18</v>
      </c>
      <c r="C88" s="62"/>
      <c r="D88" s="62" t="s">
        <v>116</v>
      </c>
      <c r="E88" s="57">
        <v>1</v>
      </c>
      <c r="F88" s="62">
        <v>17</v>
      </c>
      <c r="G88" s="62" t="s">
        <v>155</v>
      </c>
      <c r="H88" s="66" t="s">
        <v>112</v>
      </c>
      <c r="I88" s="83">
        <v>12</v>
      </c>
      <c r="J88" s="62"/>
      <c r="K88" s="62"/>
      <c r="L88" s="62"/>
      <c r="M88" s="62"/>
      <c r="N88" s="62"/>
      <c r="O88" s="62"/>
      <c r="P88" s="62"/>
    </row>
    <row r="89" spans="1:16" x14ac:dyDescent="0.25">
      <c r="A89" s="62"/>
      <c r="B89" s="66">
        <v>18</v>
      </c>
      <c r="C89" s="62"/>
      <c r="D89" s="62" t="s">
        <v>109</v>
      </c>
      <c r="E89" s="57" t="s">
        <v>156</v>
      </c>
      <c r="F89" s="62" t="s">
        <v>157</v>
      </c>
      <c r="G89" s="62" t="s">
        <v>158</v>
      </c>
      <c r="H89" s="66" t="s">
        <v>112</v>
      </c>
      <c r="I89" s="83">
        <v>13</v>
      </c>
      <c r="J89" s="62"/>
      <c r="K89" s="62"/>
      <c r="L89" s="62"/>
      <c r="M89" s="62"/>
      <c r="N89" s="62"/>
      <c r="O89" s="62"/>
      <c r="P89" s="62"/>
    </row>
    <row r="90" spans="1:16" x14ac:dyDescent="0.25">
      <c r="A90" s="62"/>
      <c r="B90" s="66">
        <v>18</v>
      </c>
      <c r="C90" s="62"/>
      <c r="D90" s="62" t="s">
        <v>109</v>
      </c>
      <c r="E90" s="57" t="s">
        <v>156</v>
      </c>
      <c r="F90" s="62" t="s">
        <v>159</v>
      </c>
      <c r="G90" s="62" t="s">
        <v>160</v>
      </c>
      <c r="H90" s="66" t="s">
        <v>112</v>
      </c>
      <c r="I90" s="83">
        <v>14</v>
      </c>
      <c r="J90" s="62"/>
      <c r="K90" s="62"/>
      <c r="L90" s="62"/>
      <c r="M90" s="62"/>
      <c r="N90" s="62"/>
      <c r="O90" s="62"/>
      <c r="P90" s="62"/>
    </row>
    <row r="91" spans="1:16" hidden="1" x14ac:dyDescent="0.25">
      <c r="A91" s="83"/>
      <c r="B91" s="83">
        <v>17</v>
      </c>
      <c r="C91" s="83"/>
      <c r="D91" s="83">
        <v>2</v>
      </c>
      <c r="E91" s="57" t="s">
        <v>156</v>
      </c>
      <c r="F91" s="83" t="s">
        <v>161</v>
      </c>
      <c r="G91" s="83" t="s">
        <v>162</v>
      </c>
      <c r="H91" s="55"/>
      <c r="I91" s="83"/>
      <c r="J91" s="62"/>
      <c r="K91" s="62"/>
      <c r="L91" s="62"/>
      <c r="M91" s="62"/>
      <c r="N91" s="62"/>
      <c r="O91" s="62"/>
      <c r="P91" s="62"/>
    </row>
    <row r="92" spans="1:16" x14ac:dyDescent="0.25">
      <c r="A92" s="83"/>
      <c r="B92" s="83">
        <v>17</v>
      </c>
      <c r="C92" s="83"/>
      <c r="D92" s="83">
        <v>2</v>
      </c>
      <c r="E92" s="57">
        <v>1</v>
      </c>
      <c r="F92" s="83" t="s">
        <v>163</v>
      </c>
      <c r="G92" s="83" t="s">
        <v>164</v>
      </c>
      <c r="H92" s="55" t="s">
        <v>112</v>
      </c>
      <c r="I92" s="83">
        <v>15</v>
      </c>
      <c r="J92" s="62"/>
      <c r="K92" s="62"/>
      <c r="L92" s="62"/>
      <c r="M92" s="62"/>
      <c r="N92" s="62"/>
      <c r="O92" s="62"/>
      <c r="P92" s="62"/>
    </row>
    <row r="93" spans="1:16" hidden="1" x14ac:dyDescent="0.25">
      <c r="A93" s="83"/>
      <c r="B93" s="83">
        <v>17</v>
      </c>
      <c r="C93" s="83"/>
      <c r="D93" s="83" t="s">
        <v>109</v>
      </c>
      <c r="E93" s="57" t="s">
        <v>132</v>
      </c>
      <c r="F93" s="83" t="s">
        <v>165</v>
      </c>
      <c r="G93" s="83" t="s">
        <v>166</v>
      </c>
      <c r="H93" s="55"/>
      <c r="I93" s="83"/>
      <c r="J93" s="62"/>
      <c r="K93" s="62"/>
      <c r="L93" s="62"/>
      <c r="M93" s="62"/>
      <c r="N93" s="62"/>
      <c r="O93" s="62"/>
      <c r="P93" s="62"/>
    </row>
    <row r="94" spans="1:16" hidden="1" x14ac:dyDescent="0.25">
      <c r="A94" s="83"/>
      <c r="B94" s="83">
        <v>15</v>
      </c>
      <c r="C94" s="83"/>
      <c r="D94" s="83">
        <v>2</v>
      </c>
      <c r="E94" s="57">
        <v>3</v>
      </c>
      <c r="F94" s="83" t="s">
        <v>167</v>
      </c>
      <c r="G94" s="83" t="s">
        <v>168</v>
      </c>
      <c r="H94" s="55"/>
      <c r="I94" s="83"/>
      <c r="J94" s="62"/>
      <c r="K94" s="62"/>
      <c r="L94" s="62"/>
      <c r="M94" s="62"/>
      <c r="N94" s="62"/>
      <c r="O94" s="62"/>
      <c r="P94" s="62"/>
    </row>
    <row r="95" spans="1:16" hidden="1" x14ac:dyDescent="0.25">
      <c r="A95" s="83"/>
      <c r="B95" s="83">
        <v>15</v>
      </c>
      <c r="C95" s="83"/>
      <c r="D95" s="83">
        <v>6</v>
      </c>
      <c r="E95" s="57" t="s">
        <v>130</v>
      </c>
      <c r="F95" s="83" t="s">
        <v>169</v>
      </c>
      <c r="G95" s="83" t="s">
        <v>170</v>
      </c>
      <c r="H95" s="55" t="s">
        <v>112</v>
      </c>
      <c r="I95" s="83"/>
      <c r="J95" s="62"/>
      <c r="K95" s="62"/>
      <c r="L95" s="62"/>
      <c r="M95" s="62"/>
      <c r="N95" s="62"/>
      <c r="O95" s="62"/>
      <c r="P95" s="62"/>
    </row>
    <row r="96" spans="1:16" x14ac:dyDescent="0.25">
      <c r="A96" s="83"/>
      <c r="B96" s="83">
        <v>15</v>
      </c>
      <c r="C96" s="83"/>
      <c r="D96" s="83">
        <v>7</v>
      </c>
      <c r="E96" s="57" t="s">
        <v>130</v>
      </c>
      <c r="F96" s="83" t="s">
        <v>171</v>
      </c>
      <c r="G96" s="83" t="s">
        <v>172</v>
      </c>
      <c r="H96" s="55" t="s">
        <v>112</v>
      </c>
      <c r="I96" s="83">
        <v>19</v>
      </c>
      <c r="J96" s="62"/>
      <c r="K96" s="62"/>
      <c r="L96" s="62"/>
      <c r="M96" s="62"/>
      <c r="N96" s="62"/>
      <c r="O96" s="62"/>
      <c r="P96" s="62"/>
    </row>
    <row r="97" spans="2:16" hidden="1" x14ac:dyDescent="0.25">
      <c r="B97" s="83">
        <v>13</v>
      </c>
      <c r="C97" s="83"/>
      <c r="D97" s="83" t="s">
        <v>109</v>
      </c>
      <c r="E97" s="57" t="s">
        <v>130</v>
      </c>
      <c r="F97" s="83" t="s">
        <v>173</v>
      </c>
      <c r="G97" s="83" t="s">
        <v>174</v>
      </c>
      <c r="H97" s="55"/>
      <c r="I97" s="83"/>
      <c r="J97" s="62"/>
      <c r="K97" s="62"/>
      <c r="L97" s="62"/>
      <c r="M97" s="62"/>
      <c r="N97" s="62"/>
      <c r="O97" s="62"/>
      <c r="P97" s="62"/>
    </row>
    <row r="98" spans="2:16" hidden="1" x14ac:dyDescent="0.25">
      <c r="B98" s="83">
        <v>12</v>
      </c>
      <c r="C98" s="83"/>
      <c r="D98" s="83">
        <v>3</v>
      </c>
      <c r="E98" s="57">
        <v>4</v>
      </c>
      <c r="F98" s="83" t="s">
        <v>175</v>
      </c>
      <c r="G98" s="83" t="s">
        <v>176</v>
      </c>
      <c r="H98" s="55"/>
      <c r="I98" s="83"/>
      <c r="J98" s="62"/>
      <c r="K98" s="62"/>
      <c r="L98" s="62"/>
      <c r="M98" s="62"/>
      <c r="N98" s="62"/>
      <c r="O98" s="62"/>
      <c r="P98" s="62"/>
    </row>
    <row r="99" spans="2:16" hidden="1" x14ac:dyDescent="0.25">
      <c r="B99" s="83">
        <v>12</v>
      </c>
      <c r="C99" s="83"/>
      <c r="D99" s="83">
        <v>1</v>
      </c>
      <c r="E99" s="57">
        <v>1</v>
      </c>
      <c r="F99" s="83" t="s">
        <v>177</v>
      </c>
      <c r="G99" s="83" t="s">
        <v>178</v>
      </c>
      <c r="H99" s="55"/>
      <c r="I99" s="83"/>
      <c r="J99" s="62"/>
      <c r="K99" s="62"/>
      <c r="L99" s="62"/>
      <c r="M99" s="62"/>
      <c r="N99" s="62"/>
      <c r="O99" s="62"/>
      <c r="P99" s="62"/>
    </row>
    <row r="100" spans="2:16" hidden="1" x14ac:dyDescent="0.25">
      <c r="B100" s="83">
        <v>12</v>
      </c>
      <c r="C100" s="83"/>
      <c r="D100" s="83">
        <v>8</v>
      </c>
      <c r="E100" s="57">
        <v>3</v>
      </c>
      <c r="F100" s="83" t="s">
        <v>179</v>
      </c>
      <c r="G100" s="83" t="s">
        <v>180</v>
      </c>
      <c r="H100" s="55"/>
      <c r="I100" s="83"/>
      <c r="J100" s="62"/>
      <c r="K100" s="62"/>
      <c r="L100" s="62"/>
      <c r="M100" s="62"/>
      <c r="N100" s="62"/>
      <c r="O100" s="62"/>
      <c r="P100" s="62"/>
    </row>
    <row r="101" spans="2:16" hidden="1" x14ac:dyDescent="0.25">
      <c r="B101" s="83">
        <v>11</v>
      </c>
      <c r="C101" s="83"/>
      <c r="D101" s="83">
        <v>8</v>
      </c>
      <c r="E101" s="57">
        <v>3</v>
      </c>
      <c r="F101" s="83" t="s">
        <v>181</v>
      </c>
      <c r="G101" s="83" t="s">
        <v>182</v>
      </c>
      <c r="H101" s="55"/>
      <c r="I101" s="83"/>
      <c r="J101" s="62"/>
      <c r="K101" s="62"/>
      <c r="L101" s="62"/>
      <c r="M101" s="62"/>
      <c r="N101" s="62"/>
      <c r="O101" s="62"/>
      <c r="P101" s="62"/>
    </row>
    <row r="102" spans="2:16" hidden="1" x14ac:dyDescent="0.25">
      <c r="B102" s="83">
        <v>10</v>
      </c>
      <c r="C102" s="83"/>
      <c r="D102" s="83">
        <v>1</v>
      </c>
      <c r="E102" s="57">
        <v>3</v>
      </c>
      <c r="F102" s="83" t="s">
        <v>183</v>
      </c>
      <c r="G102" s="83" t="s">
        <v>184</v>
      </c>
      <c r="H102" s="55"/>
      <c r="I102" s="83"/>
      <c r="J102" s="62"/>
      <c r="K102" s="62"/>
      <c r="L102" s="62"/>
      <c r="M102" s="62"/>
      <c r="N102" s="62"/>
      <c r="O102" s="62"/>
      <c r="P102" s="62"/>
    </row>
    <row r="103" spans="2:16" hidden="1" x14ac:dyDescent="0.25">
      <c r="B103" s="83">
        <v>10</v>
      </c>
      <c r="C103" s="83"/>
      <c r="D103" s="83">
        <v>5</v>
      </c>
      <c r="E103" s="57">
        <v>1</v>
      </c>
      <c r="F103" s="83" t="s">
        <v>185</v>
      </c>
      <c r="G103" s="83" t="s">
        <v>186</v>
      </c>
      <c r="H103" s="55"/>
      <c r="I103" s="83"/>
      <c r="J103" s="62"/>
      <c r="K103" s="62"/>
      <c r="L103" s="62"/>
      <c r="M103" s="62"/>
      <c r="N103" s="62"/>
      <c r="O103" s="62"/>
      <c r="P103" s="62"/>
    </row>
    <row r="104" spans="2:16" hidden="1" x14ac:dyDescent="0.25">
      <c r="B104" s="83">
        <v>10</v>
      </c>
      <c r="C104" s="83"/>
      <c r="D104" s="83">
        <v>5</v>
      </c>
      <c r="E104" s="57">
        <v>1</v>
      </c>
      <c r="F104" s="83" t="s">
        <v>187</v>
      </c>
      <c r="G104" s="83" t="s">
        <v>188</v>
      </c>
      <c r="H104" s="55"/>
      <c r="I104" s="83"/>
      <c r="J104" s="62"/>
      <c r="K104" s="62"/>
      <c r="L104" s="62"/>
      <c r="M104" s="62"/>
      <c r="N104" s="62"/>
      <c r="O104" s="62"/>
      <c r="P104" s="62"/>
    </row>
    <row r="105" spans="2:16" hidden="1" x14ac:dyDescent="0.25">
      <c r="B105" s="83">
        <v>10</v>
      </c>
      <c r="C105" s="83"/>
      <c r="D105" s="83" t="s">
        <v>109</v>
      </c>
      <c r="E105" s="57">
        <v>1</v>
      </c>
      <c r="F105" s="83" t="s">
        <v>189</v>
      </c>
      <c r="G105" s="83" t="s">
        <v>190</v>
      </c>
      <c r="H105" s="55"/>
      <c r="I105" s="83"/>
      <c r="J105" s="62"/>
      <c r="K105" s="62"/>
      <c r="L105" s="62"/>
      <c r="M105" s="62"/>
      <c r="N105" s="62"/>
      <c r="O105" s="62"/>
      <c r="P105" s="62"/>
    </row>
    <row r="106" spans="2:16" hidden="1" x14ac:dyDescent="0.25">
      <c r="B106" s="83">
        <v>10</v>
      </c>
      <c r="C106" s="83"/>
      <c r="D106" s="83">
        <v>3</v>
      </c>
      <c r="E106" s="57">
        <v>4</v>
      </c>
      <c r="F106" s="83" t="s">
        <v>191</v>
      </c>
      <c r="G106" s="83" t="s">
        <v>192</v>
      </c>
      <c r="H106" s="55"/>
      <c r="I106" s="83"/>
      <c r="J106" s="62"/>
      <c r="K106" s="62"/>
      <c r="L106" s="62"/>
      <c r="M106" s="62"/>
      <c r="N106" s="62"/>
      <c r="O106" s="62"/>
      <c r="P106" s="62"/>
    </row>
    <row r="107" spans="2:16" hidden="1" x14ac:dyDescent="0.25">
      <c r="B107" s="83">
        <v>10</v>
      </c>
      <c r="C107" s="83"/>
      <c r="D107" s="83" t="s">
        <v>109</v>
      </c>
      <c r="E107" s="57" t="s">
        <v>132</v>
      </c>
      <c r="F107" s="83" t="s">
        <v>193</v>
      </c>
      <c r="G107" s="83" t="s">
        <v>194</v>
      </c>
      <c r="H107" s="55"/>
      <c r="I107" s="83"/>
      <c r="J107" s="62"/>
      <c r="K107" s="62"/>
      <c r="L107" s="62"/>
      <c r="M107" s="62"/>
      <c r="N107" s="62"/>
      <c r="O107" s="62"/>
      <c r="P107" s="62"/>
    </row>
    <row r="108" spans="2:16" hidden="1" x14ac:dyDescent="0.25">
      <c r="B108" s="83">
        <v>10</v>
      </c>
      <c r="C108" s="83"/>
      <c r="D108" s="83" t="s">
        <v>109</v>
      </c>
      <c r="E108" s="57" t="s">
        <v>132</v>
      </c>
      <c r="F108" s="83" t="s">
        <v>195</v>
      </c>
      <c r="G108" s="83" t="s">
        <v>196</v>
      </c>
      <c r="H108" s="55"/>
      <c r="I108" s="83"/>
      <c r="J108" s="62"/>
      <c r="K108" s="62"/>
      <c r="L108" s="62"/>
      <c r="M108" s="62"/>
      <c r="N108" s="62"/>
      <c r="O108" s="62"/>
      <c r="P108" s="62"/>
    </row>
  </sheetData>
  <autoFilter ref="B58:I108" xr:uid="{00000000-0009-0000-0000-000001000000}">
    <filterColumn colId="7">
      <customFilters>
        <customFilter operator="notEqual" val=" "/>
      </customFilters>
    </filterColumn>
  </autoFilter>
  <sortState ref="A56:D88">
    <sortCondition descending="1" ref="B30:B62"/>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9"/>
  <sheetViews>
    <sheetView zoomScale="30" zoomScaleNormal="30" workbookViewId="0">
      <pane xSplit="5" ySplit="1" topLeftCell="F12" activePane="bottomRight" state="frozen"/>
      <selection pane="topRight" activeCell="D1" sqref="D1"/>
      <selection pane="bottomLeft" activeCell="A2" sqref="A2"/>
      <selection pane="bottomRight" activeCell="B12" sqref="B12"/>
    </sheetView>
  </sheetViews>
  <sheetFormatPr defaultRowHeight="15" x14ac:dyDescent="0.25"/>
  <cols>
    <col min="1" max="1" width="10.42578125" hidden="1" customWidth="1"/>
    <col min="2" max="2" width="17.140625" customWidth="1"/>
    <col min="3" max="3" width="20.42578125" customWidth="1"/>
    <col min="4" max="4" width="20.42578125" style="48" customWidth="1"/>
    <col min="5" max="5" width="17.42578125" customWidth="1"/>
    <col min="6" max="6" width="16" customWidth="1"/>
    <col min="7" max="8" width="14.85546875" customWidth="1"/>
    <col min="9" max="9" width="35.85546875" customWidth="1"/>
    <col min="10" max="11" width="28.85546875" customWidth="1"/>
    <col min="12" max="12" width="16.5703125" customWidth="1"/>
    <col min="13" max="14" width="69" customWidth="1"/>
    <col min="15" max="15" width="11.5703125" customWidth="1"/>
    <col min="16" max="16" width="27.85546875" bestFit="1" customWidth="1"/>
    <col min="17" max="17" width="17" customWidth="1"/>
  </cols>
  <sheetData>
    <row r="1" spans="1:17" ht="57" thickBot="1" x14ac:dyDescent="0.4">
      <c r="A1" s="27" t="s">
        <v>197</v>
      </c>
      <c r="B1" s="2" t="s">
        <v>198</v>
      </c>
      <c r="C1" s="2" t="s">
        <v>199</v>
      </c>
      <c r="D1" s="53" t="s">
        <v>200</v>
      </c>
      <c r="E1" s="2" t="s">
        <v>201</v>
      </c>
      <c r="F1" s="2" t="s">
        <v>202</v>
      </c>
      <c r="G1" s="2" t="s">
        <v>203</v>
      </c>
      <c r="H1" s="38" t="s">
        <v>204</v>
      </c>
      <c r="I1" s="3" t="s">
        <v>0</v>
      </c>
      <c r="J1" s="3" t="s">
        <v>205</v>
      </c>
      <c r="K1" s="2" t="s">
        <v>206</v>
      </c>
      <c r="L1" s="2" t="s">
        <v>207</v>
      </c>
      <c r="M1" s="3" t="s">
        <v>1</v>
      </c>
      <c r="N1" s="3" t="s">
        <v>208</v>
      </c>
      <c r="O1" s="2" t="s">
        <v>209</v>
      </c>
      <c r="P1" s="3" t="s">
        <v>210</v>
      </c>
      <c r="Q1" s="2" t="s">
        <v>211</v>
      </c>
    </row>
    <row r="2" spans="1:17" ht="116.25" thickBot="1" x14ac:dyDescent="0.3">
      <c r="A2" s="7">
        <v>17</v>
      </c>
      <c r="B2" s="7">
        <v>10</v>
      </c>
      <c r="C2" s="17">
        <v>10</v>
      </c>
      <c r="D2" s="17"/>
      <c r="E2" s="353">
        <f t="shared" ref="E2:E33" si="0">B2+C2</f>
        <v>20</v>
      </c>
      <c r="F2" s="21">
        <v>4</v>
      </c>
      <c r="G2" s="354" t="s">
        <v>133</v>
      </c>
      <c r="H2" s="354"/>
      <c r="I2" s="9" t="s">
        <v>212</v>
      </c>
      <c r="J2" s="8" t="s">
        <v>213</v>
      </c>
      <c r="K2" s="6"/>
      <c r="L2" s="6" t="s">
        <v>214</v>
      </c>
      <c r="M2" s="6" t="s">
        <v>215</v>
      </c>
      <c r="N2" s="6" t="s">
        <v>216</v>
      </c>
      <c r="O2" s="6" t="s">
        <v>217</v>
      </c>
      <c r="P2" s="6" t="s">
        <v>218</v>
      </c>
      <c r="Q2" s="6" t="s">
        <v>219</v>
      </c>
    </row>
    <row r="3" spans="1:17" ht="83.25" thickBot="1" x14ac:dyDescent="0.3">
      <c r="A3" s="7">
        <v>18</v>
      </c>
      <c r="B3" s="7">
        <v>10</v>
      </c>
      <c r="C3" s="17">
        <v>10</v>
      </c>
      <c r="D3" s="17"/>
      <c r="E3" s="23">
        <f t="shared" si="0"/>
        <v>20</v>
      </c>
      <c r="F3" s="22">
        <v>4</v>
      </c>
      <c r="G3" s="5" t="s">
        <v>135</v>
      </c>
      <c r="H3" s="5"/>
      <c r="I3" s="10" t="s">
        <v>220</v>
      </c>
      <c r="J3" s="4" t="s">
        <v>221</v>
      </c>
      <c r="K3" s="4"/>
      <c r="L3" s="4" t="s">
        <v>214</v>
      </c>
      <c r="M3" s="4" t="s">
        <v>222</v>
      </c>
      <c r="N3" s="4" t="s">
        <v>223</v>
      </c>
      <c r="O3" s="4" t="s">
        <v>217</v>
      </c>
      <c r="P3" s="4" t="s">
        <v>218</v>
      </c>
      <c r="Q3" s="4" t="s">
        <v>219</v>
      </c>
    </row>
    <row r="4" spans="1:17" ht="182.25" thickBot="1" x14ac:dyDescent="0.3">
      <c r="A4" s="7">
        <v>34</v>
      </c>
      <c r="B4" s="7">
        <v>10</v>
      </c>
      <c r="C4" s="17">
        <v>10</v>
      </c>
      <c r="D4" s="17"/>
      <c r="E4" s="23">
        <f t="shared" si="0"/>
        <v>20</v>
      </c>
      <c r="F4" s="22">
        <v>8</v>
      </c>
      <c r="G4" s="1" t="s">
        <v>137</v>
      </c>
      <c r="H4" s="1"/>
      <c r="I4" s="15" t="s">
        <v>138</v>
      </c>
      <c r="J4" s="4" t="s">
        <v>224</v>
      </c>
      <c r="K4" s="4"/>
      <c r="L4" s="4" t="s">
        <v>214</v>
      </c>
      <c r="M4" s="4" t="s">
        <v>225</v>
      </c>
      <c r="N4" s="4" t="s">
        <v>226</v>
      </c>
      <c r="O4" s="4" t="s">
        <v>217</v>
      </c>
      <c r="P4" s="4" t="s">
        <v>218</v>
      </c>
      <c r="Q4" s="4" t="s">
        <v>219</v>
      </c>
    </row>
    <row r="5" spans="1:17" ht="116.25" thickBot="1" x14ac:dyDescent="0.3">
      <c r="A5" s="7">
        <v>35</v>
      </c>
      <c r="B5" s="7">
        <v>10</v>
      </c>
      <c r="C5" s="17">
        <v>10</v>
      </c>
      <c r="D5" s="17"/>
      <c r="E5" s="23">
        <f t="shared" si="0"/>
        <v>20</v>
      </c>
      <c r="F5" s="22">
        <v>8</v>
      </c>
      <c r="G5" s="1" t="s">
        <v>139</v>
      </c>
      <c r="H5" s="1"/>
      <c r="I5" s="10" t="s">
        <v>140</v>
      </c>
      <c r="J5" s="4" t="s">
        <v>224</v>
      </c>
      <c r="K5" s="4"/>
      <c r="L5" s="4" t="s">
        <v>227</v>
      </c>
      <c r="M5" s="4" t="s">
        <v>228</v>
      </c>
      <c r="N5" s="4" t="s">
        <v>229</v>
      </c>
      <c r="O5" s="4"/>
      <c r="P5" s="4"/>
      <c r="Q5" s="4" t="s">
        <v>230</v>
      </c>
    </row>
    <row r="6" spans="1:17" ht="116.25" thickBot="1" x14ac:dyDescent="0.3">
      <c r="A6" s="7">
        <v>58</v>
      </c>
      <c r="B6" s="7">
        <v>10</v>
      </c>
      <c r="C6" s="17">
        <v>10</v>
      </c>
      <c r="D6" s="17">
        <v>5</v>
      </c>
      <c r="E6" s="23">
        <f t="shared" si="0"/>
        <v>20</v>
      </c>
      <c r="F6" s="22">
        <v>8</v>
      </c>
      <c r="G6" s="1" t="s">
        <v>122</v>
      </c>
      <c r="H6" s="37" t="s">
        <v>112</v>
      </c>
      <c r="I6" s="10" t="s">
        <v>48</v>
      </c>
      <c r="J6" s="4" t="s">
        <v>231</v>
      </c>
      <c r="K6" s="4"/>
      <c r="L6" s="4" t="s">
        <v>232</v>
      </c>
      <c r="M6" s="4" t="s">
        <v>49</v>
      </c>
      <c r="N6" s="4" t="s">
        <v>233</v>
      </c>
      <c r="O6" s="4"/>
      <c r="P6" s="4"/>
      <c r="Q6" s="4" t="s">
        <v>230</v>
      </c>
    </row>
    <row r="7" spans="1:17" ht="105.75" thickBot="1" x14ac:dyDescent="0.3">
      <c r="A7" s="7">
        <v>56</v>
      </c>
      <c r="B7" s="7">
        <v>10</v>
      </c>
      <c r="C7" s="17">
        <v>9</v>
      </c>
      <c r="D7" s="17"/>
      <c r="E7" s="23">
        <f t="shared" si="0"/>
        <v>19</v>
      </c>
      <c r="F7" s="22">
        <v>5</v>
      </c>
      <c r="G7" s="5" t="s">
        <v>141</v>
      </c>
      <c r="H7" s="35"/>
      <c r="I7" s="10" t="s">
        <v>142</v>
      </c>
      <c r="J7" s="4" t="s">
        <v>231</v>
      </c>
      <c r="K7" s="4"/>
      <c r="L7" s="4" t="s">
        <v>234</v>
      </c>
      <c r="M7" s="28" t="s">
        <v>235</v>
      </c>
      <c r="N7" s="29" t="s">
        <v>236</v>
      </c>
      <c r="O7" s="4" t="s">
        <v>237</v>
      </c>
      <c r="P7" s="4" t="s">
        <v>218</v>
      </c>
      <c r="Q7" s="4" t="s">
        <v>230</v>
      </c>
    </row>
    <row r="8" spans="1:17" ht="122.25" thickBot="1" x14ac:dyDescent="0.3">
      <c r="A8" s="7">
        <v>57</v>
      </c>
      <c r="B8" s="7">
        <v>10</v>
      </c>
      <c r="C8" s="17">
        <v>9</v>
      </c>
      <c r="D8" s="17">
        <v>2</v>
      </c>
      <c r="E8" s="23">
        <f t="shared" si="0"/>
        <v>19</v>
      </c>
      <c r="F8" s="22">
        <v>5</v>
      </c>
      <c r="G8" s="5" t="s">
        <v>128</v>
      </c>
      <c r="H8" s="35" t="s">
        <v>112</v>
      </c>
      <c r="I8" s="10" t="s">
        <v>46</v>
      </c>
      <c r="J8" s="4" t="s">
        <v>231</v>
      </c>
      <c r="K8" s="4"/>
      <c r="L8" s="4" t="s">
        <v>234</v>
      </c>
      <c r="M8" s="4" t="s">
        <v>47</v>
      </c>
      <c r="N8" s="4" t="s">
        <v>238</v>
      </c>
      <c r="O8" s="4" t="s">
        <v>237</v>
      </c>
      <c r="P8" s="4" t="s">
        <v>218</v>
      </c>
      <c r="Q8" s="4" t="s">
        <v>237</v>
      </c>
    </row>
    <row r="9" spans="1:17" ht="132.75" thickBot="1" x14ac:dyDescent="0.3">
      <c r="A9" s="7">
        <v>40</v>
      </c>
      <c r="B9" s="7">
        <v>9</v>
      </c>
      <c r="C9" s="17">
        <v>9</v>
      </c>
      <c r="D9" s="17">
        <v>5</v>
      </c>
      <c r="E9" s="23">
        <f t="shared" si="0"/>
        <v>18</v>
      </c>
      <c r="F9" s="22">
        <v>1</v>
      </c>
      <c r="G9" s="4" t="s">
        <v>123</v>
      </c>
      <c r="H9" s="36" t="s">
        <v>112</v>
      </c>
      <c r="I9" s="10" t="s">
        <v>38</v>
      </c>
      <c r="J9" s="4" t="s">
        <v>231</v>
      </c>
      <c r="K9" s="4"/>
      <c r="L9" s="4" t="s">
        <v>227</v>
      </c>
      <c r="M9" s="13" t="s">
        <v>239</v>
      </c>
      <c r="N9" s="13" t="s">
        <v>240</v>
      </c>
      <c r="O9" s="4" t="s">
        <v>241</v>
      </c>
      <c r="P9" s="4" t="s">
        <v>242</v>
      </c>
      <c r="Q9" s="4" t="s">
        <v>241</v>
      </c>
    </row>
    <row r="10" spans="1:17" ht="99.75" thickBot="1" x14ac:dyDescent="0.3">
      <c r="A10" s="7">
        <v>41</v>
      </c>
      <c r="B10" s="7">
        <v>9</v>
      </c>
      <c r="C10" s="17">
        <v>9</v>
      </c>
      <c r="D10" s="17">
        <v>7</v>
      </c>
      <c r="E10" s="23">
        <f t="shared" si="0"/>
        <v>18</v>
      </c>
      <c r="F10" s="22">
        <v>1</v>
      </c>
      <c r="G10" s="1">
        <v>1.2</v>
      </c>
      <c r="H10" s="37" t="s">
        <v>112</v>
      </c>
      <c r="I10" s="10" t="s">
        <v>40</v>
      </c>
      <c r="J10" s="8" t="s">
        <v>243</v>
      </c>
      <c r="K10" s="355" t="s">
        <v>244</v>
      </c>
      <c r="L10" s="4" t="s">
        <v>227</v>
      </c>
      <c r="M10" s="4" t="s">
        <v>41</v>
      </c>
      <c r="N10" s="4" t="s">
        <v>245</v>
      </c>
      <c r="O10" s="4" t="s">
        <v>241</v>
      </c>
      <c r="P10" s="4" t="s">
        <v>246</v>
      </c>
      <c r="Q10" s="4" t="s">
        <v>241</v>
      </c>
    </row>
    <row r="11" spans="1:17" ht="149.25" thickBot="1" x14ac:dyDescent="0.3">
      <c r="A11" s="7">
        <v>42</v>
      </c>
      <c r="B11" s="7">
        <v>9</v>
      </c>
      <c r="C11" s="17">
        <v>9</v>
      </c>
      <c r="D11" s="17"/>
      <c r="E11" s="23">
        <f t="shared" si="0"/>
        <v>18</v>
      </c>
      <c r="F11" s="22">
        <v>2</v>
      </c>
      <c r="G11" s="5" t="s">
        <v>143</v>
      </c>
      <c r="H11" s="35"/>
      <c r="I11" s="10" t="s">
        <v>144</v>
      </c>
      <c r="J11" s="4" t="s">
        <v>247</v>
      </c>
      <c r="K11" s="4"/>
      <c r="L11" s="4" t="s">
        <v>248</v>
      </c>
      <c r="M11" s="4" t="s">
        <v>249</v>
      </c>
      <c r="N11" s="4" t="s">
        <v>236</v>
      </c>
      <c r="O11" s="4" t="s">
        <v>241</v>
      </c>
      <c r="P11" s="4" t="s">
        <v>250</v>
      </c>
      <c r="Q11" s="4" t="s">
        <v>230</v>
      </c>
    </row>
    <row r="12" spans="1:17" ht="116.25" thickBot="1" x14ac:dyDescent="0.3">
      <c r="A12" s="7">
        <v>43</v>
      </c>
      <c r="B12" s="18">
        <v>9</v>
      </c>
      <c r="C12" s="20">
        <v>9</v>
      </c>
      <c r="D12" s="20"/>
      <c r="E12" s="24">
        <f t="shared" si="0"/>
        <v>18</v>
      </c>
      <c r="F12" s="22">
        <v>6</v>
      </c>
      <c r="G12" s="5" t="s">
        <v>145</v>
      </c>
      <c r="H12" s="35"/>
      <c r="I12" s="10" t="s">
        <v>146</v>
      </c>
      <c r="J12" s="4" t="s">
        <v>251</v>
      </c>
      <c r="K12" s="4"/>
      <c r="L12" s="4" t="s">
        <v>252</v>
      </c>
      <c r="M12" s="4" t="s">
        <v>253</v>
      </c>
      <c r="N12" s="4" t="s">
        <v>254</v>
      </c>
      <c r="O12" s="4" t="s">
        <v>255</v>
      </c>
      <c r="P12" s="4" t="s">
        <v>242</v>
      </c>
      <c r="Q12" s="4" t="s">
        <v>256</v>
      </c>
    </row>
    <row r="13" spans="1:17" ht="83.25" thickBot="1" x14ac:dyDescent="0.3">
      <c r="A13" s="7">
        <v>44</v>
      </c>
      <c r="B13" s="18">
        <v>9</v>
      </c>
      <c r="C13" s="20">
        <v>9</v>
      </c>
      <c r="D13" s="20">
        <v>1</v>
      </c>
      <c r="E13" s="24">
        <f t="shared" si="0"/>
        <v>18</v>
      </c>
      <c r="F13" s="22">
        <v>6</v>
      </c>
      <c r="G13" s="5" t="s">
        <v>131</v>
      </c>
      <c r="H13" s="35" t="s">
        <v>112</v>
      </c>
      <c r="I13" s="10" t="s">
        <v>42</v>
      </c>
      <c r="J13" s="4" t="s">
        <v>247</v>
      </c>
      <c r="K13" s="4"/>
      <c r="L13" s="4" t="s">
        <v>227</v>
      </c>
      <c r="M13" s="4" t="s">
        <v>43</v>
      </c>
      <c r="N13" s="4" t="s">
        <v>257</v>
      </c>
      <c r="O13" s="4" t="s">
        <v>258</v>
      </c>
      <c r="P13" s="4" t="s">
        <v>242</v>
      </c>
      <c r="Q13" s="4" t="s">
        <v>259</v>
      </c>
    </row>
    <row r="14" spans="1:17" ht="99.75" thickBot="1" x14ac:dyDescent="0.3">
      <c r="A14" s="7">
        <v>46</v>
      </c>
      <c r="B14" s="7">
        <v>9</v>
      </c>
      <c r="C14" s="17">
        <v>9</v>
      </c>
      <c r="D14" s="17"/>
      <c r="E14" s="23">
        <f t="shared" si="0"/>
        <v>18</v>
      </c>
      <c r="F14" s="22" t="s">
        <v>109</v>
      </c>
      <c r="G14" s="1" t="s">
        <v>147</v>
      </c>
      <c r="H14" s="1"/>
      <c r="I14" s="10" t="s">
        <v>148</v>
      </c>
      <c r="J14" s="4" t="s">
        <v>224</v>
      </c>
      <c r="K14" s="4"/>
      <c r="L14" s="4"/>
      <c r="M14" s="4" t="s">
        <v>260</v>
      </c>
      <c r="N14" s="4" t="s">
        <v>261</v>
      </c>
      <c r="O14" s="4" t="s">
        <v>262</v>
      </c>
      <c r="P14" s="4" t="s">
        <v>218</v>
      </c>
      <c r="Q14" s="4" t="s">
        <v>263</v>
      </c>
    </row>
    <row r="15" spans="1:17" ht="61.5" thickBot="1" x14ac:dyDescent="0.3">
      <c r="A15" s="7">
        <v>47</v>
      </c>
      <c r="B15" s="18">
        <v>9</v>
      </c>
      <c r="C15" s="20">
        <v>9</v>
      </c>
      <c r="D15" s="20"/>
      <c r="E15" s="24">
        <f t="shared" si="0"/>
        <v>18</v>
      </c>
      <c r="F15" s="22">
        <v>6</v>
      </c>
      <c r="G15" s="4">
        <v>19</v>
      </c>
      <c r="H15" s="36"/>
      <c r="I15" s="10" t="s">
        <v>149</v>
      </c>
      <c r="J15" s="4" t="s">
        <v>231</v>
      </c>
      <c r="K15" s="4"/>
      <c r="L15" s="4" t="s">
        <v>264</v>
      </c>
      <c r="M15" s="4" t="s">
        <v>265</v>
      </c>
      <c r="N15" s="4" t="s">
        <v>266</v>
      </c>
      <c r="O15" s="4" t="s">
        <v>267</v>
      </c>
      <c r="P15" s="4" t="s">
        <v>218</v>
      </c>
      <c r="Q15" s="4" t="s">
        <v>230</v>
      </c>
    </row>
    <row r="16" spans="1:17" ht="50.25" thickBot="1" x14ac:dyDescent="0.3">
      <c r="A16" s="7">
        <v>48</v>
      </c>
      <c r="B16" s="18">
        <v>9</v>
      </c>
      <c r="C16" s="20">
        <v>9</v>
      </c>
      <c r="D16" s="20"/>
      <c r="E16" s="24">
        <f t="shared" si="0"/>
        <v>18</v>
      </c>
      <c r="F16" s="22">
        <v>6</v>
      </c>
      <c r="G16" s="4">
        <v>24</v>
      </c>
      <c r="H16" s="36"/>
      <c r="I16" s="10" t="s">
        <v>150</v>
      </c>
      <c r="J16" s="4" t="s">
        <v>247</v>
      </c>
      <c r="K16" s="4"/>
      <c r="L16" s="4" t="s">
        <v>227</v>
      </c>
      <c r="M16" s="4" t="s">
        <v>268</v>
      </c>
      <c r="N16" s="4" t="s">
        <v>269</v>
      </c>
      <c r="O16" s="4" t="s">
        <v>270</v>
      </c>
      <c r="P16" s="4" t="s">
        <v>218</v>
      </c>
      <c r="Q16" s="4" t="s">
        <v>230</v>
      </c>
    </row>
    <row r="17" spans="1:17" ht="81.75" thickBot="1" x14ac:dyDescent="0.3">
      <c r="A17" s="7">
        <v>49</v>
      </c>
      <c r="B17" s="7">
        <v>9</v>
      </c>
      <c r="C17" s="17">
        <v>9</v>
      </c>
      <c r="D17" s="17"/>
      <c r="E17" s="23">
        <f t="shared" si="0"/>
        <v>18</v>
      </c>
      <c r="F17" s="22">
        <v>7</v>
      </c>
      <c r="G17" s="5" t="s">
        <v>151</v>
      </c>
      <c r="H17" s="35"/>
      <c r="I17" s="10" t="s">
        <v>152</v>
      </c>
      <c r="J17" s="4" t="s">
        <v>247</v>
      </c>
      <c r="K17" s="4"/>
      <c r="L17" s="34" t="s">
        <v>227</v>
      </c>
      <c r="M17" s="4" t="s">
        <v>271</v>
      </c>
      <c r="N17" s="4" t="s">
        <v>236</v>
      </c>
      <c r="O17" s="4" t="s">
        <v>241</v>
      </c>
      <c r="P17" s="4" t="s">
        <v>272</v>
      </c>
      <c r="Q17" s="4" t="s">
        <v>230</v>
      </c>
    </row>
    <row r="18" spans="1:17" ht="99.75" thickBot="1" x14ac:dyDescent="0.3">
      <c r="A18" s="7">
        <v>51</v>
      </c>
      <c r="B18" s="18">
        <v>9</v>
      </c>
      <c r="C18" s="20">
        <v>9</v>
      </c>
      <c r="D18" s="20"/>
      <c r="E18" s="24">
        <f t="shared" si="0"/>
        <v>18</v>
      </c>
      <c r="F18" s="22">
        <v>7</v>
      </c>
      <c r="G18" s="5" t="s">
        <v>153</v>
      </c>
      <c r="H18" s="35"/>
      <c r="I18" s="10" t="s">
        <v>154</v>
      </c>
      <c r="J18" s="4" t="s">
        <v>247</v>
      </c>
      <c r="K18" s="4"/>
      <c r="L18" s="4" t="s">
        <v>273</v>
      </c>
      <c r="M18" s="4" t="s">
        <v>274</v>
      </c>
      <c r="N18" s="4"/>
      <c r="O18" s="4" t="s">
        <v>275</v>
      </c>
      <c r="P18" s="4" t="s">
        <v>218</v>
      </c>
      <c r="Q18" s="4" t="s">
        <v>230</v>
      </c>
    </row>
    <row r="19" spans="1:17" ht="83.25" thickBot="1" x14ac:dyDescent="0.3">
      <c r="A19" s="7">
        <v>52</v>
      </c>
      <c r="B19" s="18">
        <v>9</v>
      </c>
      <c r="C19" s="20">
        <v>9</v>
      </c>
      <c r="D19" s="20">
        <v>8</v>
      </c>
      <c r="E19" s="24">
        <f t="shared" si="0"/>
        <v>18</v>
      </c>
      <c r="F19" s="22">
        <v>7</v>
      </c>
      <c r="G19" s="4">
        <v>18</v>
      </c>
      <c r="H19" s="36" t="s">
        <v>112</v>
      </c>
      <c r="I19" s="10" t="s">
        <v>117</v>
      </c>
      <c r="J19" s="4" t="s">
        <v>231</v>
      </c>
      <c r="K19" s="4"/>
      <c r="L19" s="4" t="s">
        <v>227</v>
      </c>
      <c r="M19" s="4" t="s">
        <v>45</v>
      </c>
      <c r="N19" s="4" t="s">
        <v>276</v>
      </c>
      <c r="O19" s="4" t="s">
        <v>277</v>
      </c>
      <c r="P19" s="4" t="s">
        <v>218</v>
      </c>
      <c r="Q19" s="4" t="s">
        <v>230</v>
      </c>
    </row>
    <row r="20" spans="1:17" ht="83.25" thickBot="1" x14ac:dyDescent="0.3">
      <c r="A20" s="7">
        <v>53</v>
      </c>
      <c r="B20" s="18">
        <v>9</v>
      </c>
      <c r="C20" s="20">
        <v>9</v>
      </c>
      <c r="D20" s="20"/>
      <c r="E20" s="24">
        <f t="shared" si="0"/>
        <v>18</v>
      </c>
      <c r="F20" s="22">
        <v>7</v>
      </c>
      <c r="G20" s="4">
        <v>17</v>
      </c>
      <c r="H20" s="36"/>
      <c r="I20" s="10" t="s">
        <v>155</v>
      </c>
      <c r="J20" s="4" t="s">
        <v>247</v>
      </c>
      <c r="K20" s="4"/>
      <c r="L20" s="4" t="s">
        <v>227</v>
      </c>
      <c r="M20" s="4" t="s">
        <v>278</v>
      </c>
      <c r="N20" s="4" t="s">
        <v>279</v>
      </c>
      <c r="O20" s="4" t="s">
        <v>277</v>
      </c>
      <c r="P20" s="4" t="s">
        <v>218</v>
      </c>
      <c r="Q20" s="4" t="s">
        <v>230</v>
      </c>
    </row>
    <row r="21" spans="1:17" ht="83.25" thickBot="1" x14ac:dyDescent="0.3">
      <c r="A21" s="7">
        <v>54</v>
      </c>
      <c r="B21" s="7">
        <v>9</v>
      </c>
      <c r="C21" s="17">
        <v>9</v>
      </c>
      <c r="D21" s="17"/>
      <c r="E21" s="23">
        <f t="shared" si="0"/>
        <v>18</v>
      </c>
      <c r="F21" s="22" t="s">
        <v>109</v>
      </c>
      <c r="G21" s="1" t="s">
        <v>157</v>
      </c>
      <c r="H21" s="37"/>
      <c r="I21" s="10" t="s">
        <v>158</v>
      </c>
      <c r="J21" s="4" t="s">
        <v>247</v>
      </c>
      <c r="K21" s="4"/>
      <c r="L21" s="4" t="s">
        <v>227</v>
      </c>
      <c r="M21" s="4" t="s">
        <v>280</v>
      </c>
      <c r="N21" s="4" t="s">
        <v>281</v>
      </c>
      <c r="O21" s="4" t="s">
        <v>270</v>
      </c>
      <c r="P21" s="4" t="s">
        <v>218</v>
      </c>
      <c r="Q21" s="4" t="s">
        <v>230</v>
      </c>
    </row>
    <row r="22" spans="1:17" ht="99.75" thickBot="1" x14ac:dyDescent="0.3">
      <c r="A22" s="7">
        <v>55</v>
      </c>
      <c r="B22" s="7">
        <v>9</v>
      </c>
      <c r="C22" s="17">
        <v>9</v>
      </c>
      <c r="D22" s="17"/>
      <c r="E22" s="23">
        <f t="shared" si="0"/>
        <v>18</v>
      </c>
      <c r="F22" s="22" t="s">
        <v>109</v>
      </c>
      <c r="G22" s="1" t="s">
        <v>159</v>
      </c>
      <c r="H22" s="37"/>
      <c r="I22" s="10" t="s">
        <v>160</v>
      </c>
      <c r="J22" s="4" t="s">
        <v>247</v>
      </c>
      <c r="K22" s="4"/>
      <c r="L22" s="4" t="s">
        <v>227</v>
      </c>
      <c r="M22" s="4" t="s">
        <v>282</v>
      </c>
      <c r="N22" s="4" t="s">
        <v>283</v>
      </c>
      <c r="O22" s="4" t="s">
        <v>270</v>
      </c>
      <c r="P22" s="4" t="s">
        <v>218</v>
      </c>
      <c r="Q22" s="4" t="s">
        <v>230</v>
      </c>
    </row>
    <row r="23" spans="1:17" ht="83.25" thickBot="1" x14ac:dyDescent="0.3">
      <c r="A23" s="7">
        <v>32</v>
      </c>
      <c r="B23" s="7">
        <v>8</v>
      </c>
      <c r="C23" s="17">
        <v>9</v>
      </c>
      <c r="D23" s="17">
        <v>7</v>
      </c>
      <c r="E23" s="23">
        <f t="shared" si="0"/>
        <v>17</v>
      </c>
      <c r="F23" s="22">
        <v>1</v>
      </c>
      <c r="G23" s="1" t="s">
        <v>118</v>
      </c>
      <c r="H23" s="37" t="s">
        <v>112</v>
      </c>
      <c r="I23" s="10" t="s">
        <v>36</v>
      </c>
      <c r="J23" s="8" t="s">
        <v>243</v>
      </c>
      <c r="K23" s="4"/>
      <c r="L23" s="4" t="s">
        <v>284</v>
      </c>
      <c r="M23" s="4" t="s">
        <v>37</v>
      </c>
      <c r="N23" s="4" t="s">
        <v>285</v>
      </c>
      <c r="O23" s="4" t="s">
        <v>286</v>
      </c>
      <c r="P23" s="4" t="s">
        <v>246</v>
      </c>
      <c r="Q23" s="4" t="s">
        <v>286</v>
      </c>
    </row>
    <row r="24" spans="1:17" ht="132.75" thickBot="1" x14ac:dyDescent="0.3">
      <c r="A24" s="7">
        <v>33</v>
      </c>
      <c r="B24" s="7">
        <v>9</v>
      </c>
      <c r="C24" s="17">
        <v>8</v>
      </c>
      <c r="D24" s="17"/>
      <c r="E24" s="23">
        <f t="shared" si="0"/>
        <v>17</v>
      </c>
      <c r="F24" s="22">
        <v>2</v>
      </c>
      <c r="G24" s="5" t="s">
        <v>161</v>
      </c>
      <c r="H24" s="35"/>
      <c r="I24" s="10" t="s">
        <v>162</v>
      </c>
      <c r="J24" s="4" t="s">
        <v>247</v>
      </c>
      <c r="K24" s="4"/>
      <c r="L24" s="4" t="s">
        <v>287</v>
      </c>
      <c r="M24" s="4" t="s">
        <v>288</v>
      </c>
      <c r="N24" s="4" t="s">
        <v>289</v>
      </c>
      <c r="O24" s="4" t="s">
        <v>241</v>
      </c>
      <c r="P24" s="4" t="s">
        <v>250</v>
      </c>
      <c r="Q24" s="4" t="s">
        <v>230</v>
      </c>
    </row>
    <row r="25" spans="1:17" ht="99.75" thickBot="1" x14ac:dyDescent="0.3">
      <c r="A25" s="7">
        <v>37</v>
      </c>
      <c r="B25" s="7">
        <v>9</v>
      </c>
      <c r="C25" s="17">
        <v>8</v>
      </c>
      <c r="D25" s="17"/>
      <c r="E25" s="23">
        <f t="shared" si="0"/>
        <v>17</v>
      </c>
      <c r="F25" s="22">
        <v>2</v>
      </c>
      <c r="G25" s="5" t="s">
        <v>163</v>
      </c>
      <c r="H25" s="35"/>
      <c r="I25" s="10" t="s">
        <v>164</v>
      </c>
      <c r="J25" s="4" t="s">
        <v>231</v>
      </c>
      <c r="K25" s="4"/>
      <c r="L25" s="4" t="s">
        <v>227</v>
      </c>
      <c r="M25" s="4" t="s">
        <v>290</v>
      </c>
      <c r="N25" s="4" t="s">
        <v>291</v>
      </c>
      <c r="O25" s="4" t="s">
        <v>292</v>
      </c>
      <c r="P25" s="4" t="s">
        <v>242</v>
      </c>
      <c r="Q25" s="4" t="s">
        <v>270</v>
      </c>
    </row>
    <row r="26" spans="1:17" ht="83.25" thickBot="1" x14ac:dyDescent="0.3">
      <c r="A26" s="7">
        <v>39</v>
      </c>
      <c r="B26" s="7">
        <v>9</v>
      </c>
      <c r="C26" s="17">
        <v>8</v>
      </c>
      <c r="D26" s="17"/>
      <c r="E26" s="23">
        <f t="shared" si="0"/>
        <v>17</v>
      </c>
      <c r="F26" s="22" t="s">
        <v>109</v>
      </c>
      <c r="G26" s="1" t="s">
        <v>165</v>
      </c>
      <c r="H26" s="37"/>
      <c r="I26" s="10" t="s">
        <v>166</v>
      </c>
      <c r="J26" s="4" t="s">
        <v>247</v>
      </c>
      <c r="K26" s="4"/>
      <c r="L26" s="4" t="s">
        <v>264</v>
      </c>
      <c r="M26" s="4" t="s">
        <v>293</v>
      </c>
      <c r="N26" s="4" t="s">
        <v>294</v>
      </c>
      <c r="O26" s="4" t="s">
        <v>286</v>
      </c>
      <c r="P26" s="4" t="s">
        <v>218</v>
      </c>
      <c r="Q26" s="4" t="s">
        <v>230</v>
      </c>
    </row>
    <row r="27" spans="1:17" ht="409.6" thickBot="1" x14ac:dyDescent="0.3">
      <c r="A27" s="7">
        <v>29</v>
      </c>
      <c r="B27" s="7">
        <v>8</v>
      </c>
      <c r="C27" s="17">
        <v>8</v>
      </c>
      <c r="D27" s="17">
        <v>6</v>
      </c>
      <c r="E27" s="23">
        <f t="shared" si="0"/>
        <v>16</v>
      </c>
      <c r="F27" s="22">
        <v>7</v>
      </c>
      <c r="G27" s="5" t="s">
        <v>121</v>
      </c>
      <c r="H27" s="35" t="s">
        <v>112</v>
      </c>
      <c r="I27" s="10" t="s">
        <v>30</v>
      </c>
      <c r="J27" s="8" t="s">
        <v>243</v>
      </c>
      <c r="K27" s="4"/>
      <c r="L27" s="4" t="s">
        <v>234</v>
      </c>
      <c r="M27" s="4" t="s">
        <v>295</v>
      </c>
      <c r="N27" s="4" t="s">
        <v>296</v>
      </c>
      <c r="O27" s="4" t="s">
        <v>258</v>
      </c>
      <c r="P27" s="4" t="s">
        <v>242</v>
      </c>
      <c r="Q27" s="4" t="s">
        <v>297</v>
      </c>
    </row>
    <row r="28" spans="1:17" ht="66.75" thickBot="1" x14ac:dyDescent="0.3">
      <c r="A28" s="7">
        <v>30</v>
      </c>
      <c r="B28" s="19">
        <v>9</v>
      </c>
      <c r="C28" s="54">
        <v>7</v>
      </c>
      <c r="D28" s="54">
        <v>9</v>
      </c>
      <c r="E28" s="23">
        <f t="shared" si="0"/>
        <v>16</v>
      </c>
      <c r="F28" s="25" t="s">
        <v>109</v>
      </c>
      <c r="G28" s="26" t="s">
        <v>113</v>
      </c>
      <c r="H28" s="37" t="s">
        <v>112</v>
      </c>
      <c r="I28" s="31" t="s">
        <v>32</v>
      </c>
      <c r="J28" s="8" t="s">
        <v>243</v>
      </c>
      <c r="K28" s="32"/>
      <c r="L28" s="8" t="s">
        <v>227</v>
      </c>
      <c r="M28" s="8" t="s">
        <v>33</v>
      </c>
      <c r="N28" s="8" t="s">
        <v>298</v>
      </c>
      <c r="O28" s="33"/>
      <c r="P28" s="33"/>
      <c r="Q28" s="33"/>
    </row>
    <row r="29" spans="1:17" ht="132.75" thickBot="1" x14ac:dyDescent="0.3">
      <c r="A29" s="7">
        <v>31</v>
      </c>
      <c r="B29" s="18">
        <v>7</v>
      </c>
      <c r="C29" s="20">
        <v>9</v>
      </c>
      <c r="D29" s="20">
        <v>10</v>
      </c>
      <c r="E29" s="24">
        <f t="shared" si="0"/>
        <v>16</v>
      </c>
      <c r="F29" s="22" t="s">
        <v>109</v>
      </c>
      <c r="G29" s="1" t="s">
        <v>110</v>
      </c>
      <c r="H29" s="37" t="s">
        <v>112</v>
      </c>
      <c r="I29" s="10" t="s">
        <v>111</v>
      </c>
      <c r="J29" s="8" t="s">
        <v>243</v>
      </c>
      <c r="K29" s="4"/>
      <c r="L29" s="4" t="s">
        <v>299</v>
      </c>
      <c r="M29" s="4" t="s">
        <v>35</v>
      </c>
      <c r="N29" s="4" t="s">
        <v>300</v>
      </c>
      <c r="O29" s="4" t="s">
        <v>258</v>
      </c>
      <c r="P29" s="4" t="s">
        <v>246</v>
      </c>
      <c r="Q29" s="4" t="s">
        <v>258</v>
      </c>
    </row>
    <row r="30" spans="1:17" ht="66.75" thickBot="1" x14ac:dyDescent="0.3">
      <c r="A30" s="7">
        <v>24</v>
      </c>
      <c r="B30" s="7">
        <v>7</v>
      </c>
      <c r="C30" s="17">
        <v>8</v>
      </c>
      <c r="D30" s="17"/>
      <c r="E30" s="23">
        <f t="shared" si="0"/>
        <v>15</v>
      </c>
      <c r="F30" s="22">
        <v>2</v>
      </c>
      <c r="G30" s="5" t="s">
        <v>167</v>
      </c>
      <c r="H30" s="35"/>
      <c r="I30" s="10" t="s">
        <v>168</v>
      </c>
      <c r="J30" s="4" t="s">
        <v>231</v>
      </c>
      <c r="K30" s="4"/>
      <c r="L30" s="4" t="s">
        <v>227</v>
      </c>
      <c r="M30" s="4" t="s">
        <v>301</v>
      </c>
      <c r="N30" s="4" t="s">
        <v>302</v>
      </c>
      <c r="O30" s="4" t="s">
        <v>217</v>
      </c>
      <c r="P30" s="4" t="s">
        <v>242</v>
      </c>
      <c r="Q30" s="4" t="s">
        <v>303</v>
      </c>
    </row>
    <row r="31" spans="1:17" ht="132.75" thickBot="1" x14ac:dyDescent="0.3">
      <c r="A31" s="7">
        <v>25</v>
      </c>
      <c r="B31" s="7">
        <v>7</v>
      </c>
      <c r="C31" s="17">
        <v>8</v>
      </c>
      <c r="D31" s="17"/>
      <c r="E31" s="23">
        <f t="shared" si="0"/>
        <v>15</v>
      </c>
      <c r="F31" s="22">
        <v>6</v>
      </c>
      <c r="G31" s="5" t="s">
        <v>169</v>
      </c>
      <c r="H31" s="35" t="s">
        <v>112</v>
      </c>
      <c r="I31" s="10" t="s">
        <v>170</v>
      </c>
      <c r="J31" s="4" t="s">
        <v>231</v>
      </c>
      <c r="K31" s="4"/>
      <c r="L31" s="4" t="s">
        <v>227</v>
      </c>
      <c r="M31" s="4" t="s">
        <v>23</v>
      </c>
      <c r="N31" s="4" t="s">
        <v>304</v>
      </c>
      <c r="O31" s="4" t="s">
        <v>305</v>
      </c>
      <c r="P31" s="4" t="s">
        <v>242</v>
      </c>
      <c r="Q31" s="4" t="s">
        <v>259</v>
      </c>
    </row>
    <row r="32" spans="1:17" ht="83.25" thickBot="1" x14ac:dyDescent="0.3">
      <c r="A32" s="7">
        <v>26</v>
      </c>
      <c r="B32" s="7">
        <v>7</v>
      </c>
      <c r="C32" s="17">
        <v>8</v>
      </c>
      <c r="D32" s="17"/>
      <c r="E32" s="23">
        <f t="shared" si="0"/>
        <v>15</v>
      </c>
      <c r="F32" s="22">
        <v>7</v>
      </c>
      <c r="G32" s="5" t="s">
        <v>171</v>
      </c>
      <c r="H32" s="35" t="s">
        <v>112</v>
      </c>
      <c r="I32" s="10" t="s">
        <v>172</v>
      </c>
      <c r="J32" s="8" t="s">
        <v>243</v>
      </c>
      <c r="K32" s="4"/>
      <c r="L32" s="4" t="s">
        <v>227</v>
      </c>
      <c r="M32" s="4" t="s">
        <v>25</v>
      </c>
      <c r="N32" s="4" t="s">
        <v>306</v>
      </c>
      <c r="O32" s="4" t="s">
        <v>286</v>
      </c>
      <c r="P32" s="4" t="s">
        <v>307</v>
      </c>
      <c r="Q32" s="4" t="s">
        <v>286</v>
      </c>
    </row>
    <row r="33" spans="1:17" ht="149.25" thickBot="1" x14ac:dyDescent="0.3">
      <c r="A33" s="7">
        <v>27</v>
      </c>
      <c r="B33" s="7">
        <v>8</v>
      </c>
      <c r="C33" s="17">
        <v>7</v>
      </c>
      <c r="D33" s="17">
        <v>3</v>
      </c>
      <c r="E33" s="23">
        <f t="shared" si="0"/>
        <v>15</v>
      </c>
      <c r="F33" s="22">
        <v>8</v>
      </c>
      <c r="G33" s="1" t="s">
        <v>125</v>
      </c>
      <c r="H33" s="37" t="s">
        <v>112</v>
      </c>
      <c r="I33" s="10" t="s">
        <v>26</v>
      </c>
      <c r="J33" s="4" t="s">
        <v>308</v>
      </c>
      <c r="K33" s="4"/>
      <c r="L33" s="4" t="s">
        <v>227</v>
      </c>
      <c r="M33" s="4" t="s">
        <v>27</v>
      </c>
      <c r="N33" s="4" t="s">
        <v>309</v>
      </c>
      <c r="O33" s="4" t="s">
        <v>217</v>
      </c>
      <c r="P33" s="4" t="s">
        <v>242</v>
      </c>
      <c r="Q33" s="4" t="s">
        <v>230</v>
      </c>
    </row>
    <row r="34" spans="1:17" ht="66.75" thickBot="1" x14ac:dyDescent="0.3">
      <c r="A34" s="7">
        <v>28</v>
      </c>
      <c r="B34" s="7">
        <v>8</v>
      </c>
      <c r="C34" s="17">
        <v>7</v>
      </c>
      <c r="D34" s="17">
        <v>9</v>
      </c>
      <c r="E34" s="23">
        <f t="shared" ref="E34:E59" si="1">B34+C34</f>
        <v>15</v>
      </c>
      <c r="F34" s="22" t="s">
        <v>109</v>
      </c>
      <c r="G34" s="1" t="s">
        <v>114</v>
      </c>
      <c r="H34" s="37" t="s">
        <v>112</v>
      </c>
      <c r="I34" s="10" t="s">
        <v>115</v>
      </c>
      <c r="J34" s="4" t="s">
        <v>231</v>
      </c>
      <c r="K34" s="4"/>
      <c r="L34" s="4" t="s">
        <v>227</v>
      </c>
      <c r="M34" s="4" t="s">
        <v>29</v>
      </c>
      <c r="N34" s="4" t="s">
        <v>310</v>
      </c>
      <c r="O34" s="4" t="s">
        <v>311</v>
      </c>
      <c r="P34" s="4" t="s">
        <v>242</v>
      </c>
      <c r="Q34" s="4" t="s">
        <v>286</v>
      </c>
    </row>
    <row r="35" spans="1:17" ht="198.75" thickBot="1" x14ac:dyDescent="0.3">
      <c r="A35" s="7">
        <v>23</v>
      </c>
      <c r="B35" s="7">
        <v>7</v>
      </c>
      <c r="C35" s="17">
        <v>7</v>
      </c>
      <c r="D35" s="17">
        <v>7</v>
      </c>
      <c r="E35" s="23">
        <f t="shared" si="1"/>
        <v>14</v>
      </c>
      <c r="F35" s="22">
        <v>1</v>
      </c>
      <c r="G35" s="5" t="s">
        <v>119</v>
      </c>
      <c r="H35" s="35" t="s">
        <v>112</v>
      </c>
      <c r="I35" s="10" t="s">
        <v>20</v>
      </c>
      <c r="J35" s="8" t="s">
        <v>243</v>
      </c>
      <c r="K35" s="4"/>
      <c r="L35" s="4" t="s">
        <v>312</v>
      </c>
      <c r="M35" s="4" t="s">
        <v>21</v>
      </c>
      <c r="N35" s="4" t="s">
        <v>313</v>
      </c>
      <c r="O35" s="4" t="s">
        <v>258</v>
      </c>
      <c r="P35" s="4" t="s">
        <v>218</v>
      </c>
      <c r="Q35" s="4" t="s">
        <v>314</v>
      </c>
    </row>
    <row r="36" spans="1:17" ht="182.25" thickBot="1" x14ac:dyDescent="0.3">
      <c r="A36" s="7">
        <v>22</v>
      </c>
      <c r="B36" s="7">
        <v>7</v>
      </c>
      <c r="C36" s="17">
        <v>6</v>
      </c>
      <c r="D36" s="17">
        <v>2</v>
      </c>
      <c r="E36" s="23">
        <f t="shared" si="1"/>
        <v>13</v>
      </c>
      <c r="F36" s="22">
        <v>2</v>
      </c>
      <c r="G36" s="5" t="s">
        <v>129</v>
      </c>
      <c r="H36" s="35" t="s">
        <v>112</v>
      </c>
      <c r="I36" s="10" t="s">
        <v>18</v>
      </c>
      <c r="J36" s="4" t="s">
        <v>247</v>
      </c>
      <c r="K36" s="4"/>
      <c r="L36" s="4" t="s">
        <v>227</v>
      </c>
      <c r="M36" s="4" t="s">
        <v>315</v>
      </c>
      <c r="N36" s="4" t="s">
        <v>236</v>
      </c>
      <c r="O36" s="4" t="s">
        <v>241</v>
      </c>
      <c r="P36" s="4" t="s">
        <v>250</v>
      </c>
      <c r="Q36" s="4" t="s">
        <v>219</v>
      </c>
    </row>
    <row r="37" spans="1:17" ht="264.75" thickBot="1" x14ac:dyDescent="0.3">
      <c r="A37" s="7">
        <v>45</v>
      </c>
      <c r="B37" s="7">
        <v>7</v>
      </c>
      <c r="C37" s="17">
        <v>6</v>
      </c>
      <c r="D37" s="17"/>
      <c r="E37" s="23">
        <f t="shared" si="1"/>
        <v>13</v>
      </c>
      <c r="F37" s="22" t="s">
        <v>109</v>
      </c>
      <c r="G37" s="1" t="s">
        <v>173</v>
      </c>
      <c r="H37" s="1"/>
      <c r="I37" s="10" t="s">
        <v>174</v>
      </c>
      <c r="J37" s="4"/>
      <c r="K37" s="4"/>
      <c r="L37" s="4"/>
      <c r="M37" s="13" t="s">
        <v>316</v>
      </c>
      <c r="N37" s="13" t="s">
        <v>317</v>
      </c>
      <c r="O37" s="4" t="s">
        <v>286</v>
      </c>
      <c r="P37" s="4" t="s">
        <v>218</v>
      </c>
      <c r="Q37" s="4" t="s">
        <v>286</v>
      </c>
    </row>
    <row r="38" spans="1:17" ht="50.25" thickBot="1" x14ac:dyDescent="0.3">
      <c r="A38" s="7">
        <v>14</v>
      </c>
      <c r="B38" s="7">
        <v>10</v>
      </c>
      <c r="C38" s="17">
        <v>2</v>
      </c>
      <c r="D38" s="17"/>
      <c r="E38" s="23">
        <f t="shared" si="1"/>
        <v>12</v>
      </c>
      <c r="F38" s="22">
        <v>3</v>
      </c>
      <c r="G38" s="5" t="s">
        <v>175</v>
      </c>
      <c r="H38" s="5"/>
      <c r="I38" s="10" t="s">
        <v>176</v>
      </c>
      <c r="J38" s="4"/>
      <c r="K38" s="4"/>
      <c r="L38" s="4" t="s">
        <v>318</v>
      </c>
      <c r="M38" s="4" t="s">
        <v>319</v>
      </c>
      <c r="N38" s="4" t="s">
        <v>320</v>
      </c>
      <c r="O38" s="4" t="s">
        <v>321</v>
      </c>
      <c r="P38" s="4" t="s">
        <v>322</v>
      </c>
      <c r="Q38" s="4" t="s">
        <v>230</v>
      </c>
    </row>
    <row r="39" spans="1:17" ht="149.25" thickBot="1" x14ac:dyDescent="0.3">
      <c r="A39" s="7">
        <v>20</v>
      </c>
      <c r="B39" s="7">
        <v>7</v>
      </c>
      <c r="C39" s="17">
        <v>5</v>
      </c>
      <c r="D39" s="17"/>
      <c r="E39" s="23">
        <f t="shared" si="1"/>
        <v>12</v>
      </c>
      <c r="F39" s="22">
        <v>1</v>
      </c>
      <c r="G39" s="5" t="s">
        <v>177</v>
      </c>
      <c r="H39" s="35"/>
      <c r="I39" s="10" t="s">
        <v>178</v>
      </c>
      <c r="J39" s="4" t="s">
        <v>323</v>
      </c>
      <c r="K39" s="4"/>
      <c r="L39" s="4" t="s">
        <v>227</v>
      </c>
      <c r="M39" s="4" t="s">
        <v>324</v>
      </c>
      <c r="N39" s="4" t="s">
        <v>325</v>
      </c>
      <c r="O39" s="4" t="s">
        <v>258</v>
      </c>
      <c r="P39" s="4" t="s">
        <v>242</v>
      </c>
      <c r="Q39" s="4" t="s">
        <v>259</v>
      </c>
    </row>
    <row r="40" spans="1:17" ht="149.25" thickBot="1" x14ac:dyDescent="0.3">
      <c r="A40" s="7">
        <v>21</v>
      </c>
      <c r="B40" s="7">
        <v>6</v>
      </c>
      <c r="C40" s="17">
        <v>6</v>
      </c>
      <c r="D40" s="17">
        <v>7</v>
      </c>
      <c r="E40" s="23">
        <f t="shared" si="1"/>
        <v>12</v>
      </c>
      <c r="F40" s="22">
        <v>1</v>
      </c>
      <c r="G40" s="5" t="s">
        <v>120</v>
      </c>
      <c r="H40" s="35" t="s">
        <v>112</v>
      </c>
      <c r="I40" s="10" t="s">
        <v>16</v>
      </c>
      <c r="J40" s="4" t="s">
        <v>231</v>
      </c>
      <c r="K40" s="4"/>
      <c r="L40" s="4" t="s">
        <v>227</v>
      </c>
      <c r="M40" s="4" t="s">
        <v>17</v>
      </c>
      <c r="N40" s="4" t="s">
        <v>326</v>
      </c>
      <c r="O40" s="4" t="s">
        <v>241</v>
      </c>
      <c r="P40" s="4" t="s">
        <v>242</v>
      </c>
      <c r="Q40" s="4" t="s">
        <v>241</v>
      </c>
    </row>
    <row r="41" spans="1:17" ht="116.25" thickBot="1" x14ac:dyDescent="0.3">
      <c r="A41" s="7">
        <v>38</v>
      </c>
      <c r="B41" s="19">
        <v>6</v>
      </c>
      <c r="C41" s="17">
        <v>6</v>
      </c>
      <c r="D41" s="17"/>
      <c r="E41" s="23">
        <f t="shared" si="1"/>
        <v>12</v>
      </c>
      <c r="F41" s="22">
        <v>8</v>
      </c>
      <c r="G41" s="1" t="s">
        <v>179</v>
      </c>
      <c r="H41" s="1"/>
      <c r="I41" s="10" t="s">
        <v>180</v>
      </c>
      <c r="J41" s="4" t="s">
        <v>224</v>
      </c>
      <c r="K41" s="4"/>
      <c r="L41" s="4" t="s">
        <v>227</v>
      </c>
      <c r="M41" s="4" t="s">
        <v>327</v>
      </c>
      <c r="N41" s="4" t="s">
        <v>328</v>
      </c>
      <c r="O41" s="4" t="s">
        <v>329</v>
      </c>
      <c r="P41" s="4" t="s">
        <v>218</v>
      </c>
      <c r="Q41" s="4" t="s">
        <v>286</v>
      </c>
    </row>
    <row r="42" spans="1:17" ht="83.25" thickBot="1" x14ac:dyDescent="0.3">
      <c r="A42" s="7">
        <v>36</v>
      </c>
      <c r="B42" s="7">
        <v>10</v>
      </c>
      <c r="C42" s="17">
        <v>1</v>
      </c>
      <c r="D42" s="17"/>
      <c r="E42" s="23">
        <f t="shared" si="1"/>
        <v>11</v>
      </c>
      <c r="F42" s="22">
        <v>8</v>
      </c>
      <c r="G42" s="1" t="s">
        <v>181</v>
      </c>
      <c r="H42" s="30"/>
      <c r="I42" s="9" t="s">
        <v>182</v>
      </c>
      <c r="J42" s="4" t="s">
        <v>221</v>
      </c>
      <c r="K42" s="34"/>
      <c r="L42" s="6" t="s">
        <v>330</v>
      </c>
      <c r="M42" s="6" t="s">
        <v>331</v>
      </c>
      <c r="N42" s="6" t="s">
        <v>332</v>
      </c>
      <c r="O42" s="34"/>
      <c r="P42" s="34"/>
      <c r="Q42" s="34" t="s">
        <v>230</v>
      </c>
    </row>
    <row r="43" spans="1:17" ht="99.75" thickBot="1" x14ac:dyDescent="0.3">
      <c r="A43" s="7">
        <v>8</v>
      </c>
      <c r="B43" s="7">
        <v>7</v>
      </c>
      <c r="C43" s="17">
        <v>3</v>
      </c>
      <c r="D43" s="17"/>
      <c r="E43" s="23">
        <f t="shared" si="1"/>
        <v>10</v>
      </c>
      <c r="F43" s="22">
        <v>1</v>
      </c>
      <c r="G43" s="5" t="s">
        <v>183</v>
      </c>
      <c r="H43" s="35"/>
      <c r="I43" s="10" t="s">
        <v>184</v>
      </c>
      <c r="J43" s="4" t="s">
        <v>231</v>
      </c>
      <c r="K43" s="4"/>
      <c r="L43" s="4" t="s">
        <v>333</v>
      </c>
      <c r="M43" s="4" t="s">
        <v>334</v>
      </c>
      <c r="N43" s="4" t="s">
        <v>335</v>
      </c>
      <c r="O43" s="4" t="s">
        <v>241</v>
      </c>
      <c r="P43" s="4" t="s">
        <v>242</v>
      </c>
      <c r="Q43" s="4" t="s">
        <v>336</v>
      </c>
    </row>
    <row r="44" spans="1:17" ht="165.75" thickBot="1" x14ac:dyDescent="0.3">
      <c r="A44" s="7">
        <v>9</v>
      </c>
      <c r="B44" s="7">
        <v>2</v>
      </c>
      <c r="C44" s="17">
        <v>8</v>
      </c>
      <c r="D44" s="17">
        <v>5</v>
      </c>
      <c r="E44" s="23">
        <f t="shared" si="1"/>
        <v>10</v>
      </c>
      <c r="F44" s="22">
        <v>1</v>
      </c>
      <c r="G44" s="5" t="s">
        <v>124</v>
      </c>
      <c r="H44" s="35" t="s">
        <v>112</v>
      </c>
      <c r="I44" s="10" t="s">
        <v>10</v>
      </c>
      <c r="J44" s="4" t="s">
        <v>308</v>
      </c>
      <c r="K44" s="4"/>
      <c r="L44" s="4" t="s">
        <v>227</v>
      </c>
      <c r="M44" s="4" t="s">
        <v>11</v>
      </c>
      <c r="N44" s="4" t="s">
        <v>337</v>
      </c>
      <c r="O44" s="4" t="s">
        <v>338</v>
      </c>
      <c r="P44" s="4" t="s">
        <v>242</v>
      </c>
      <c r="Q44" s="4" t="s">
        <v>339</v>
      </c>
    </row>
    <row r="45" spans="1:17" ht="66.75" thickBot="1" x14ac:dyDescent="0.3">
      <c r="A45" s="7">
        <v>10</v>
      </c>
      <c r="B45" s="7">
        <v>4</v>
      </c>
      <c r="C45" s="17">
        <v>6</v>
      </c>
      <c r="D45" s="17"/>
      <c r="E45" s="23">
        <f t="shared" si="1"/>
        <v>10</v>
      </c>
      <c r="F45" s="22">
        <v>5</v>
      </c>
      <c r="G45" s="5" t="s">
        <v>185</v>
      </c>
      <c r="H45" s="35" t="s">
        <v>112</v>
      </c>
      <c r="I45" s="10" t="s">
        <v>186</v>
      </c>
      <c r="J45" s="8" t="s">
        <v>243</v>
      </c>
      <c r="K45" s="4"/>
      <c r="L45" s="4" t="s">
        <v>227</v>
      </c>
      <c r="M45" s="4" t="s">
        <v>13</v>
      </c>
      <c r="N45" s="4" t="s">
        <v>340</v>
      </c>
      <c r="O45" s="4" t="s">
        <v>341</v>
      </c>
      <c r="P45" s="4" t="s">
        <v>242</v>
      </c>
      <c r="Q45" s="4" t="s">
        <v>339</v>
      </c>
    </row>
    <row r="46" spans="1:17" ht="50.25" thickBot="1" x14ac:dyDescent="0.3">
      <c r="A46" s="7">
        <v>11</v>
      </c>
      <c r="B46" s="7">
        <v>2</v>
      </c>
      <c r="C46" s="17">
        <v>8</v>
      </c>
      <c r="D46" s="17"/>
      <c r="E46" s="23">
        <f t="shared" si="1"/>
        <v>10</v>
      </c>
      <c r="F46" s="22">
        <v>5</v>
      </c>
      <c r="G46" s="5" t="s">
        <v>187</v>
      </c>
      <c r="H46" s="35"/>
      <c r="I46" s="10" t="s">
        <v>188</v>
      </c>
      <c r="J46" s="4" t="s">
        <v>251</v>
      </c>
      <c r="K46" s="4"/>
      <c r="L46" s="4" t="s">
        <v>227</v>
      </c>
      <c r="M46" s="4" t="s">
        <v>342</v>
      </c>
      <c r="N46" s="4" t="s">
        <v>343</v>
      </c>
      <c r="O46" s="4" t="s">
        <v>344</v>
      </c>
      <c r="P46" s="4" t="s">
        <v>242</v>
      </c>
      <c r="Q46" s="4" t="s">
        <v>339</v>
      </c>
    </row>
    <row r="47" spans="1:17" ht="50.25" thickBot="1" x14ac:dyDescent="0.3">
      <c r="A47" s="7">
        <v>12</v>
      </c>
      <c r="B47" s="7">
        <v>3</v>
      </c>
      <c r="C47" s="17">
        <v>7</v>
      </c>
      <c r="D47" s="17"/>
      <c r="E47" s="23">
        <f t="shared" si="1"/>
        <v>10</v>
      </c>
      <c r="F47" s="22" t="s">
        <v>109</v>
      </c>
      <c r="G47" s="1" t="s">
        <v>189</v>
      </c>
      <c r="H47" s="37"/>
      <c r="I47" s="10" t="s">
        <v>190</v>
      </c>
      <c r="J47" s="4" t="s">
        <v>231</v>
      </c>
      <c r="K47" s="4"/>
      <c r="L47" s="4" t="s">
        <v>227</v>
      </c>
      <c r="M47" s="4" t="s">
        <v>345</v>
      </c>
      <c r="N47" s="4" t="s">
        <v>236</v>
      </c>
      <c r="O47" s="4" t="s">
        <v>346</v>
      </c>
      <c r="P47" s="4" t="s">
        <v>242</v>
      </c>
      <c r="Q47" s="4" t="s">
        <v>303</v>
      </c>
    </row>
    <row r="48" spans="1:17" ht="116.25" thickBot="1" x14ac:dyDescent="0.3">
      <c r="A48" s="7">
        <v>13</v>
      </c>
      <c r="B48" s="7">
        <v>2</v>
      </c>
      <c r="C48" s="17">
        <v>8</v>
      </c>
      <c r="D48" s="17">
        <v>3</v>
      </c>
      <c r="E48" s="23">
        <f t="shared" si="1"/>
        <v>10</v>
      </c>
      <c r="F48" s="22" t="s">
        <v>109</v>
      </c>
      <c r="G48" s="1" t="s">
        <v>126</v>
      </c>
      <c r="H48" s="37" t="s">
        <v>112</v>
      </c>
      <c r="I48" s="10" t="s">
        <v>127</v>
      </c>
      <c r="J48" s="8" t="s">
        <v>243</v>
      </c>
      <c r="K48" s="4"/>
      <c r="L48" s="4" t="s">
        <v>227</v>
      </c>
      <c r="M48" s="4" t="s">
        <v>15</v>
      </c>
      <c r="N48" s="4" t="s">
        <v>347</v>
      </c>
      <c r="O48" s="4" t="s">
        <v>258</v>
      </c>
      <c r="P48" s="4" t="s">
        <v>242</v>
      </c>
      <c r="Q48" s="4" t="s">
        <v>259</v>
      </c>
    </row>
    <row r="49" spans="1:17" ht="50.25" thickBot="1" x14ac:dyDescent="0.3">
      <c r="A49" s="7">
        <v>15</v>
      </c>
      <c r="B49" s="7">
        <v>8</v>
      </c>
      <c r="C49" s="17">
        <v>2</v>
      </c>
      <c r="D49" s="17"/>
      <c r="E49" s="23">
        <f t="shared" si="1"/>
        <v>10</v>
      </c>
      <c r="F49" s="22">
        <v>3</v>
      </c>
      <c r="G49" s="5" t="s">
        <v>191</v>
      </c>
      <c r="H49" s="5"/>
      <c r="I49" s="10" t="s">
        <v>192</v>
      </c>
      <c r="J49" s="4"/>
      <c r="K49" s="4"/>
      <c r="L49" s="4"/>
      <c r="M49" s="4" t="s">
        <v>348</v>
      </c>
      <c r="N49" s="4" t="s">
        <v>349</v>
      </c>
      <c r="O49" s="4" t="s">
        <v>321</v>
      </c>
      <c r="P49" s="4" t="s">
        <v>322</v>
      </c>
      <c r="Q49" s="4" t="s">
        <v>219</v>
      </c>
    </row>
    <row r="50" spans="1:17" ht="83.25" thickBot="1" x14ac:dyDescent="0.3">
      <c r="A50" s="7">
        <v>19</v>
      </c>
      <c r="B50" s="7">
        <v>4</v>
      </c>
      <c r="C50" s="17">
        <v>6</v>
      </c>
      <c r="D50" s="17"/>
      <c r="E50" s="23">
        <f t="shared" si="1"/>
        <v>10</v>
      </c>
      <c r="F50" s="22" t="s">
        <v>109</v>
      </c>
      <c r="G50" s="1" t="s">
        <v>193</v>
      </c>
      <c r="H50" s="37"/>
      <c r="I50" s="10" t="s">
        <v>194</v>
      </c>
      <c r="J50" s="8" t="s">
        <v>243</v>
      </c>
      <c r="K50" s="4"/>
      <c r="L50" s="4" t="s">
        <v>227</v>
      </c>
      <c r="M50" s="4" t="s">
        <v>350</v>
      </c>
      <c r="N50" s="4" t="s">
        <v>351</v>
      </c>
      <c r="O50" s="4" t="s">
        <v>352</v>
      </c>
      <c r="P50" s="4" t="s">
        <v>242</v>
      </c>
      <c r="Q50" s="4" t="s">
        <v>353</v>
      </c>
    </row>
    <row r="51" spans="1:17" ht="33.75" thickBot="1" x14ac:dyDescent="0.3">
      <c r="A51" s="7">
        <v>50</v>
      </c>
      <c r="B51" s="7">
        <v>7</v>
      </c>
      <c r="C51" s="17">
        <v>3</v>
      </c>
      <c r="D51" s="17"/>
      <c r="E51" s="23">
        <f t="shared" si="1"/>
        <v>10</v>
      </c>
      <c r="F51" s="22" t="s">
        <v>109</v>
      </c>
      <c r="G51" s="1" t="s">
        <v>195</v>
      </c>
      <c r="H51" s="1"/>
      <c r="I51" s="12" t="s">
        <v>196</v>
      </c>
      <c r="J51" s="11"/>
      <c r="K51" s="11"/>
      <c r="L51" s="11"/>
      <c r="M51" s="16" t="s">
        <v>354</v>
      </c>
      <c r="N51" s="14" t="s">
        <v>355</v>
      </c>
      <c r="O51" s="11" t="s">
        <v>286</v>
      </c>
      <c r="P51" s="11" t="s">
        <v>242</v>
      </c>
      <c r="Q51" s="11" t="s">
        <v>286</v>
      </c>
    </row>
    <row r="52" spans="1:17" ht="99.75" thickBot="1" x14ac:dyDescent="0.3">
      <c r="A52" s="7">
        <v>5</v>
      </c>
      <c r="B52" s="7">
        <v>2</v>
      </c>
      <c r="C52" s="17">
        <v>7</v>
      </c>
      <c r="D52" s="17"/>
      <c r="E52" s="23">
        <f t="shared" si="1"/>
        <v>9</v>
      </c>
      <c r="F52" s="22" t="s">
        <v>109</v>
      </c>
      <c r="G52" s="1" t="s">
        <v>356</v>
      </c>
      <c r="H52" s="37"/>
      <c r="I52" s="10" t="s">
        <v>357</v>
      </c>
      <c r="J52" s="4" t="s">
        <v>231</v>
      </c>
      <c r="K52" s="4"/>
      <c r="L52" s="4"/>
      <c r="M52" s="4" t="s">
        <v>358</v>
      </c>
      <c r="N52" s="4" t="s">
        <v>359</v>
      </c>
      <c r="O52" s="4" t="s">
        <v>360</v>
      </c>
      <c r="P52" s="4" t="s">
        <v>242</v>
      </c>
      <c r="Q52" s="4" t="s">
        <v>361</v>
      </c>
    </row>
    <row r="53" spans="1:17" ht="99.75" thickBot="1" x14ac:dyDescent="0.3">
      <c r="A53" s="7">
        <v>6</v>
      </c>
      <c r="B53" s="7">
        <v>2</v>
      </c>
      <c r="C53" s="17">
        <v>7</v>
      </c>
      <c r="D53" s="17">
        <v>4</v>
      </c>
      <c r="E53" s="23">
        <f t="shared" si="1"/>
        <v>9</v>
      </c>
      <c r="F53" s="22" t="s">
        <v>109</v>
      </c>
      <c r="G53" s="1" t="s">
        <v>362</v>
      </c>
      <c r="H53" s="37" t="s">
        <v>112</v>
      </c>
      <c r="I53" s="10" t="s">
        <v>363</v>
      </c>
      <c r="J53" s="4" t="s">
        <v>247</v>
      </c>
      <c r="K53" s="4"/>
      <c r="L53" s="4" t="s">
        <v>227</v>
      </c>
      <c r="M53" s="4" t="s">
        <v>364</v>
      </c>
      <c r="N53" s="4" t="s">
        <v>365</v>
      </c>
      <c r="O53" s="4" t="s">
        <v>258</v>
      </c>
      <c r="P53" s="4" t="s">
        <v>242</v>
      </c>
      <c r="Q53" s="4" t="s">
        <v>259</v>
      </c>
    </row>
    <row r="54" spans="1:17" ht="83.25" thickBot="1" x14ac:dyDescent="0.3">
      <c r="A54" s="7">
        <v>7</v>
      </c>
      <c r="B54" s="7">
        <v>2</v>
      </c>
      <c r="C54" s="17">
        <v>7</v>
      </c>
      <c r="D54" s="17"/>
      <c r="E54" s="23">
        <f t="shared" si="1"/>
        <v>9</v>
      </c>
      <c r="F54" s="22" t="s">
        <v>109</v>
      </c>
      <c r="G54" s="1" t="s">
        <v>366</v>
      </c>
      <c r="H54" s="37"/>
      <c r="I54" s="10" t="s">
        <v>363</v>
      </c>
      <c r="J54" s="4" t="s">
        <v>247</v>
      </c>
      <c r="K54" s="4"/>
      <c r="L54" s="4" t="s">
        <v>227</v>
      </c>
      <c r="M54" s="4" t="s">
        <v>367</v>
      </c>
      <c r="N54" s="4" t="s">
        <v>368</v>
      </c>
      <c r="O54" s="4" t="s">
        <v>258</v>
      </c>
      <c r="P54" s="4" t="s">
        <v>242</v>
      </c>
      <c r="Q54" s="4" t="s">
        <v>259</v>
      </c>
    </row>
    <row r="55" spans="1:17" ht="132.75" thickBot="1" x14ac:dyDescent="0.3">
      <c r="A55" s="7">
        <v>2</v>
      </c>
      <c r="B55" s="19">
        <v>2</v>
      </c>
      <c r="C55" s="17">
        <v>5</v>
      </c>
      <c r="D55" s="17"/>
      <c r="E55" s="23">
        <f t="shared" si="1"/>
        <v>7</v>
      </c>
      <c r="F55" s="22">
        <v>8</v>
      </c>
      <c r="G55" s="1" t="s">
        <v>369</v>
      </c>
      <c r="H55" s="37"/>
      <c r="I55" s="10" t="s">
        <v>370</v>
      </c>
      <c r="J55" s="4" t="s">
        <v>231</v>
      </c>
      <c r="K55" s="4"/>
      <c r="L55" s="4" t="s">
        <v>264</v>
      </c>
      <c r="M55" s="4" t="s">
        <v>371</v>
      </c>
      <c r="N55" s="4" t="s">
        <v>372</v>
      </c>
      <c r="O55" s="4"/>
      <c r="P55" s="4"/>
      <c r="Q55" s="4" t="s">
        <v>230</v>
      </c>
    </row>
    <row r="56" spans="1:17" ht="99.75" thickBot="1" x14ac:dyDescent="0.3">
      <c r="A56" s="7">
        <v>3</v>
      </c>
      <c r="B56" s="18">
        <v>6</v>
      </c>
      <c r="C56" s="20">
        <v>1</v>
      </c>
      <c r="D56" s="20">
        <v>6</v>
      </c>
      <c r="E56" s="24">
        <f t="shared" si="1"/>
        <v>7</v>
      </c>
      <c r="F56" s="22" t="s">
        <v>109</v>
      </c>
      <c r="G56" s="1" t="s">
        <v>373</v>
      </c>
      <c r="H56" s="37" t="s">
        <v>112</v>
      </c>
      <c r="I56" s="10" t="s">
        <v>374</v>
      </c>
      <c r="J56" s="4" t="s">
        <v>231</v>
      </c>
      <c r="K56" s="4"/>
      <c r="L56" s="4" t="s">
        <v>227</v>
      </c>
      <c r="M56" s="4" t="s">
        <v>7</v>
      </c>
      <c r="N56" s="4" t="s">
        <v>375</v>
      </c>
      <c r="O56" s="4" t="s">
        <v>270</v>
      </c>
      <c r="P56" s="4" t="s">
        <v>242</v>
      </c>
      <c r="Q56" s="4" t="s">
        <v>270</v>
      </c>
    </row>
    <row r="57" spans="1:17" ht="99.75" thickBot="1" x14ac:dyDescent="0.3">
      <c r="A57" s="7">
        <v>4</v>
      </c>
      <c r="B57" s="7">
        <v>7</v>
      </c>
      <c r="C57" s="17">
        <v>0</v>
      </c>
      <c r="D57" s="17"/>
      <c r="E57" s="23">
        <f t="shared" si="1"/>
        <v>7</v>
      </c>
      <c r="F57" s="22" t="s">
        <v>109</v>
      </c>
      <c r="G57" s="1" t="s">
        <v>376</v>
      </c>
      <c r="H57" s="37"/>
      <c r="I57" s="10" t="s">
        <v>377</v>
      </c>
      <c r="J57" s="4" t="s">
        <v>231</v>
      </c>
      <c r="K57" s="4"/>
      <c r="L57" s="4" t="s">
        <v>227</v>
      </c>
      <c r="M57" s="4" t="s">
        <v>378</v>
      </c>
      <c r="N57" s="4" t="s">
        <v>379</v>
      </c>
      <c r="O57" s="4" t="s">
        <v>321</v>
      </c>
      <c r="P57" s="4" t="s">
        <v>218</v>
      </c>
      <c r="Q57" s="4" t="s">
        <v>380</v>
      </c>
    </row>
    <row r="58" spans="1:17" ht="99.75" thickBot="1" x14ac:dyDescent="0.3">
      <c r="A58" s="7">
        <v>1</v>
      </c>
      <c r="B58" s="18">
        <v>0</v>
      </c>
      <c r="C58" s="20">
        <v>0</v>
      </c>
      <c r="D58" s="20">
        <v>8</v>
      </c>
      <c r="E58" s="24">
        <f t="shared" si="1"/>
        <v>0</v>
      </c>
      <c r="F58" s="22" t="s">
        <v>109</v>
      </c>
      <c r="G58" s="1" t="s">
        <v>381</v>
      </c>
      <c r="H58" s="37" t="s">
        <v>112</v>
      </c>
      <c r="I58" s="10" t="s">
        <v>382</v>
      </c>
      <c r="J58" s="4" t="s">
        <v>231</v>
      </c>
      <c r="K58" s="4"/>
      <c r="L58" s="4" t="s">
        <v>383</v>
      </c>
      <c r="M58" s="4" t="s">
        <v>5</v>
      </c>
      <c r="N58" s="4" t="s">
        <v>384</v>
      </c>
      <c r="O58" s="4"/>
      <c r="P58" s="4"/>
      <c r="Q58" s="4" t="s">
        <v>230</v>
      </c>
    </row>
    <row r="59" spans="1:17" ht="141.75" x14ac:dyDescent="0.25">
      <c r="A59" s="7">
        <v>16</v>
      </c>
      <c r="B59" s="19">
        <v>0</v>
      </c>
      <c r="C59" s="7">
        <v>0</v>
      </c>
      <c r="D59" s="7"/>
      <c r="E59" s="23">
        <f t="shared" si="1"/>
        <v>0</v>
      </c>
      <c r="F59" s="22">
        <v>3</v>
      </c>
      <c r="G59" s="5" t="s">
        <v>385</v>
      </c>
      <c r="H59" s="5"/>
      <c r="I59" s="10" t="s">
        <v>386</v>
      </c>
      <c r="J59" s="4"/>
      <c r="K59" s="4"/>
      <c r="L59" s="356" t="s">
        <v>387</v>
      </c>
      <c r="M59" s="4" t="s">
        <v>388</v>
      </c>
      <c r="N59" s="4" t="s">
        <v>389</v>
      </c>
      <c r="O59" s="4" t="s">
        <v>321</v>
      </c>
      <c r="P59" s="4" t="s">
        <v>390</v>
      </c>
      <c r="Q59" s="4" t="s">
        <v>230</v>
      </c>
    </row>
  </sheetData>
  <autoFilter ref="A1:R59" xr:uid="{00000000-0009-0000-0000-000002000000}">
    <sortState ref="A2:Q59">
      <sortCondition descending="1" ref="E1:E59"/>
    </sortState>
  </autoFilter>
  <sortState ref="A2:P60">
    <sortCondition descending="1" ref="E2:E60"/>
  </sortState>
  <hyperlinks>
    <hyperlink ref="M7" r:id="rId1" display="https://www.maainfo.ee/data/so_calc2/" xr:uid="{00000000-0004-0000-0200-000000000000}"/>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Z17"/>
  <sheetViews>
    <sheetView zoomScale="90" zoomScaleNormal="90" workbookViewId="0">
      <selection activeCell="I6" sqref="I6"/>
    </sheetView>
  </sheetViews>
  <sheetFormatPr defaultRowHeight="15" x14ac:dyDescent="0.25"/>
  <cols>
    <col min="1" max="1" width="4.140625" style="83" customWidth="1"/>
    <col min="2" max="2" width="3.85546875" customWidth="1"/>
    <col min="3" max="7" width="3.85546875" style="83" customWidth="1"/>
    <col min="8" max="8" width="4.85546875" style="83" customWidth="1"/>
    <col min="9" max="9" width="33.140625" customWidth="1"/>
    <col min="10" max="10" width="10" style="83" customWidth="1"/>
    <col min="11" max="11" width="10.85546875" style="83" customWidth="1"/>
    <col min="12" max="12" width="12" style="83" customWidth="1"/>
    <col min="13" max="17" width="10.85546875" style="83" customWidth="1"/>
    <col min="18" max="18" width="10.85546875" customWidth="1"/>
    <col min="19" max="21" width="12.85546875" style="83" customWidth="1"/>
    <col min="22" max="22" width="12.42578125" customWidth="1"/>
    <col min="23" max="23" width="12.140625" bestFit="1" customWidth="1"/>
    <col min="25" max="25" width="10.5703125" customWidth="1"/>
    <col min="26" max="26" width="43.85546875" customWidth="1"/>
  </cols>
  <sheetData>
    <row r="2" spans="2:26" ht="90" x14ac:dyDescent="0.25">
      <c r="B2" s="83"/>
      <c r="I2" s="87"/>
      <c r="J2" s="244" t="s">
        <v>391</v>
      </c>
      <c r="K2" s="237" t="s">
        <v>392</v>
      </c>
      <c r="L2" s="237" t="s">
        <v>393</v>
      </c>
      <c r="M2" s="237" t="s">
        <v>394</v>
      </c>
      <c r="N2" s="238" t="s">
        <v>395</v>
      </c>
      <c r="O2" s="238" t="s">
        <v>396</v>
      </c>
      <c r="P2" s="238" t="s">
        <v>397</v>
      </c>
      <c r="Q2" s="238" t="s">
        <v>398</v>
      </c>
      <c r="R2" s="239" t="s">
        <v>399</v>
      </c>
      <c r="S2" s="239" t="s">
        <v>400</v>
      </c>
      <c r="T2" s="131" t="s">
        <v>401</v>
      </c>
      <c r="U2" s="131" t="s">
        <v>402</v>
      </c>
      <c r="V2" s="240" t="s">
        <v>403</v>
      </c>
      <c r="W2" s="83"/>
      <c r="X2" s="83"/>
      <c r="Y2" s="231" t="s">
        <v>404</v>
      </c>
      <c r="Z2" s="232" t="s">
        <v>52</v>
      </c>
    </row>
    <row r="3" spans="2:26" ht="51" x14ac:dyDescent="0.25">
      <c r="B3" s="83">
        <v>1.1000000000000001</v>
      </c>
      <c r="C3" s="83">
        <v>1.2</v>
      </c>
      <c r="D3" s="83">
        <v>1.3</v>
      </c>
      <c r="E3" s="83">
        <v>1.4</v>
      </c>
      <c r="F3" s="83">
        <v>1.5</v>
      </c>
      <c r="G3" s="83">
        <v>1.6</v>
      </c>
      <c r="H3" s="83">
        <v>1.7</v>
      </c>
      <c r="I3" s="218" t="s">
        <v>405</v>
      </c>
      <c r="J3" s="243">
        <f>VLOOKUP(C3,Majandusanalüüs!$B:$AM,7,FALSE)/Baasandmed!$K$3</f>
        <v>0.95</v>
      </c>
      <c r="K3" s="223">
        <f>VLOOKUP(C3,Majandusanalüüs!$B:$AM,22,FALSE)+VLOOKUP(D3,Majandusanalüüs!$B:$AM,22,FALSE)+VLOOKUP(E3,Majandusanalüüs!$B:$AM,22,FALSE)+VLOOKUP(F3,Majandusanalüüs!$B:$AM,22,FALSE)+VLOOKUP(G3,Majandusanalüüs!$B:$AM,22,FALSE)+VLOOKUP(H3,Majandusanalüüs!$B:$AM,22,FALSE)</f>
        <v>9339050.3701575994</v>
      </c>
      <c r="L3" s="223">
        <f>K3-M3</f>
        <v>9232917.9435399994</v>
      </c>
      <c r="M3" s="223">
        <f>VLOOKUP(C3,Majandusanalüüs!$B:$AM,21,FALSE)+VLOOKUP(D3,Majandusanalüüs!$B:$AM,21,FALSE)+VLOOKUP(E3,Majandusanalüüs!$B:$AM,21,FALSE)+VLOOKUP(F3,Majandusanalüüs!$B:$AM,21,FALSE)+VLOOKUP(G3,Majandusanalüüs!$B:$AM,21,FALSE)+VLOOKUP(H3,Majandusanalüüs!$B:$AM,21,FALSE)</f>
        <v>106132.42661759999</v>
      </c>
      <c r="N3" s="224">
        <f>SUMIFS(Majandusanalüüs!$AH$4:$AH$87,Majandusanalüüs!$B$4:$B$87,Kokkuvõte!$B3)</f>
        <v>75695.600000000006</v>
      </c>
      <c r="O3" s="224">
        <f>(VLOOKUP(B3,Majandusanalüüs!$B:$AM,24,FALSE)+VLOOKUP(B3,Majandusanalüüs!$B:$AM,26,FALSE))+VLOOKUP(B3,Majandusanalüüs!$B:$AM,30,FALSE)/Baasandmed!$D$13</f>
        <v>29900</v>
      </c>
      <c r="P3" s="224">
        <f>VLOOKUP(B3,Majandusanalüüs!$B:$AM,28,FALSE)</f>
        <v>36045.599999999999</v>
      </c>
      <c r="Q3" s="224">
        <f>VLOOKUP(B3,Majandusanalüüs!$B:$AM,32,FALSE)</f>
        <v>9750</v>
      </c>
      <c r="R3" s="226">
        <f>SUMIFS(Majandusanalüüs!$AI$4:$AI$87,Majandusanalüüs!$B$4:$B$87,Kokkuvõte!$B3)</f>
        <v>9263354.7701575998</v>
      </c>
      <c r="S3" s="226" t="str">
        <f>IF(R3&lt;1000000,"&lt;1,0 mln",IF(R3&lt;5000000,"1,0-4,9 mln",IF(R3&lt;10000000,"5,0-9,9 mln",IF(R3&lt;15000000,"10,0-14,9 mln",IF(R3&lt;20000000,"15,0-19,9 mln","&gt;20,0 mln")))))</f>
        <v>5,0-9,9 mln</v>
      </c>
      <c r="T3" s="242">
        <f>VLOOKUP(B3,Majandusanalüüs!$B:$AM,36,FALSE)+VLOOKUP(C3,Majandusanalüüs!$B:$AM,36,FALSE)+VLOOKUP(D3,Majandusanalüüs!$B:$AM,36,FALSE)+VLOOKUP(E3,Majandusanalüüs!$B:$AM,36,FALSE)+VLOOKUP(F3,Majandusanalüüs!$B:$AM,36,FALSE)+VLOOKUP(G3,Majandusanalüüs!$B:$AM,36,FALSE)+VLOOKUP(H3,Majandusanalüüs!$B:$AM,36,FALSE)</f>
        <v>17</v>
      </c>
      <c r="U3" s="242">
        <f>VLOOKUP(B3,Majandusanalüüs!$B:$AM,37,FALSE)+VLOOKUP(C3,Majandusanalüüs!$B:$AM,37,FALSE)+VLOOKUP(D3,Majandusanalüüs!$B:$AM,37,FALSE)+VLOOKUP(E3,Majandusanalüüs!$B:$AM,37,FALSE)+VLOOKUP(F3,Majandusanalüüs!$B:$AM,37,FALSE)+VLOOKUP(G3,Majandusanalüüs!$B:$AM,37,FALSE)+VLOOKUP(H3,Majandusanalüüs!$B:$AM,37,FALSE)</f>
        <v>21</v>
      </c>
      <c r="V3" s="241">
        <f>T3+U3+VLOOKUP(S3,Baasandmed!$S$3:$T$8,2)</f>
        <v>58</v>
      </c>
      <c r="W3" s="245"/>
      <c r="X3" s="83"/>
      <c r="Y3" s="233">
        <f t="array" ref="Y3:Y14">(LARGE(Hinnang,{1;2;3;4;5;6;7;8;9;10;11;12}))</f>
        <v>71</v>
      </c>
      <c r="Z3" s="236" t="str">
        <f t="shared" ref="Z3:Z14" si="0">INDEX(Teenus,MATCH(Y3,Hinnang,0))</f>
        <v>E_põlluraamat</v>
      </c>
    </row>
    <row r="4" spans="2:26" ht="60" x14ac:dyDescent="0.25">
      <c r="B4" s="83">
        <v>2.1</v>
      </c>
      <c r="C4" s="83">
        <v>2.2000000000000002</v>
      </c>
      <c r="D4" s="83">
        <v>2.2999999999999998</v>
      </c>
      <c r="E4" s="83">
        <v>2.4</v>
      </c>
      <c r="F4" s="83">
        <v>2.5</v>
      </c>
      <c r="G4" s="83">
        <v>2.6</v>
      </c>
      <c r="H4" s="83">
        <v>2.7</v>
      </c>
      <c r="I4" s="219" t="s">
        <v>38</v>
      </c>
      <c r="J4" s="243">
        <f>VLOOKUP(C4,Majandusanalüüs!$B:$AM,7,FALSE)/Baasandmed!$K$3</f>
        <v>0.95</v>
      </c>
      <c r="K4" s="223">
        <f>VLOOKUP(C4,Majandusanalüüs!$B:$AM,22,FALSE)+VLOOKUP(D4,Majandusanalüüs!$B:$AM,22,FALSE)+VLOOKUP(E4,Majandusanalüüs!$B:$AM,22,FALSE)+VLOOKUP(F4,Majandusanalüüs!$B:$AM,22,FALSE)+VLOOKUP(G4,Majandusanalüüs!$B:$AM,22,FALSE)+VLOOKUP(H4,Majandusanalüüs!$B:$AM,22,FALSE)</f>
        <v>23060980.432740495</v>
      </c>
      <c r="L4" s="223">
        <f t="shared" ref="L4:L14" si="1">K4-M4</f>
        <v>22991786.668182496</v>
      </c>
      <c r="M4" s="223">
        <f>VLOOKUP(C4,Majandusanalüüs!$B:$AM,21,FALSE)+VLOOKUP(D4,Majandusanalüüs!$B:$AM,21,FALSE)+VLOOKUP(E4,Majandusanalüüs!$B:$AM,21,FALSE)+VLOOKUP(F4,Majandusanalüüs!$B:$AM,21,FALSE)+VLOOKUP(G4,Majandusanalüüs!$B:$AM,21,FALSE)+VLOOKUP(H4,Majandusanalüüs!$B:$AM,21,FALSE)</f>
        <v>69193.764557999995</v>
      </c>
      <c r="N4" s="224">
        <f>SUMIFS(Majandusanalüüs!$AH$4:$AH$87,Majandusanalüüs!$B$4:$B$87,Kokkuvõte!$B4)</f>
        <v>43598</v>
      </c>
      <c r="O4" s="224">
        <f>(VLOOKUP(B4,Majandusanalüüs!$B:$AM,24,FALSE)+VLOOKUP(B4,Majandusanalüüs!$B:$AM,26,FALSE))+VLOOKUP(B4,Majandusanalüüs!$B:$AM,30,FALSE)/Baasandmed!$D$13</f>
        <v>23400</v>
      </c>
      <c r="P4" s="224">
        <f>VLOOKUP(B4,Majandusanalüüs!$B:$AM,28,FALSE)</f>
        <v>10448</v>
      </c>
      <c r="Q4" s="224">
        <f>VLOOKUP(B4,Majandusanalüüs!$B:$AM,32,FALSE)</f>
        <v>9750</v>
      </c>
      <c r="R4" s="226">
        <f>SUMIFS(Majandusanalüüs!$AI$4:$AI$87,Majandusanalüüs!$B$4:$B$87,Kokkuvõte!$B4)</f>
        <v>23017382.432740495</v>
      </c>
      <c r="S4" s="226" t="str">
        <f t="shared" ref="S4:S14" si="2">IF(R4&lt;1000000,"&lt;1,0 mln",IF(R4&lt;5000000,"1,0-4,9 mln",IF(R4&lt;10000000,"5,0-9,9 mln",IF(R4&lt;15000000,"10,0-14,9 mln",IF(R4&lt;20000000,"15,0-19,9 mln","&gt;20,0 mln")))))</f>
        <v>&gt;20,0 mln</v>
      </c>
      <c r="T4" s="242">
        <f>VLOOKUP(B4,Majandusanalüüs!$B:$AM,36,FALSE)+VLOOKUP(C4,Majandusanalüüs!$B:$AM,36,FALSE)+VLOOKUP(D4,Majandusanalüüs!$B:$AM,36,FALSE)+VLOOKUP(E4,Majandusanalüüs!$B:$AM,36,FALSE)+VLOOKUP(F4,Majandusanalüüs!$B:$AM,36,FALSE)+VLOOKUP(G4,Majandusanalüüs!$B:$AM,36,FALSE)+VLOOKUP(H4,Majandusanalüüs!$B:$AM,36,FALSE)</f>
        <v>18</v>
      </c>
      <c r="U4" s="242">
        <f>VLOOKUP(B4,Majandusanalüüs!$B:$AM,37,FALSE)+VLOOKUP(C4,Majandusanalüüs!$B:$AM,37,FALSE)+VLOOKUP(D4,Majandusanalüüs!$B:$AM,37,FALSE)+VLOOKUP(E4,Majandusanalüüs!$B:$AM,37,FALSE)+VLOOKUP(F4,Majandusanalüüs!$B:$AM,37,FALSE)+VLOOKUP(G4,Majandusanalüüs!$B:$AM,37,FALSE)+VLOOKUP(H4,Majandusanalüüs!$B:$AM,37,FALSE)</f>
        <v>21</v>
      </c>
      <c r="V4" s="241">
        <f>T4+U4+VLOOKUP(S4,Baasandmed!$S$3:$T$8,2)</f>
        <v>49</v>
      </c>
      <c r="W4" s="225"/>
      <c r="X4" s="83"/>
      <c r="Y4" s="233">
        <v>58</v>
      </c>
      <c r="Z4" s="236" t="str">
        <f t="shared" si="0"/>
        <v>Taimekaitse soovitused ja prognoos + Taimekahjustajate kaardistamine; Taimekahjustajate leviku info jagamine ja taimekahjustajate leviku prognoos</v>
      </c>
    </row>
    <row r="5" spans="2:26" ht="42" customHeight="1" x14ac:dyDescent="0.25">
      <c r="B5" s="83">
        <v>3.1</v>
      </c>
      <c r="C5" s="83">
        <v>3.2</v>
      </c>
      <c r="D5" s="83">
        <v>3.3</v>
      </c>
      <c r="E5" s="83">
        <v>3.4</v>
      </c>
      <c r="F5" s="83">
        <v>3.5</v>
      </c>
      <c r="G5" s="83">
        <v>3.6</v>
      </c>
      <c r="H5" s="83">
        <v>3.7</v>
      </c>
      <c r="I5" s="220" t="s">
        <v>406</v>
      </c>
      <c r="J5" s="243">
        <f>VLOOKUP(C5,Majandusanalüüs!$B:$AM,7,FALSE)/Baasandmed!$K$3</f>
        <v>0.95</v>
      </c>
      <c r="K5" s="223">
        <f>VLOOKUP(C5,Majandusanalüüs!$B:$AM,22,FALSE)+VLOOKUP(D5,Majandusanalüüs!$B:$AM,22,FALSE)+VLOOKUP(E5,Majandusanalüüs!$B:$AM,22,FALSE)+VLOOKUP(F5,Majandusanalüüs!$B:$AM,22,FALSE)+VLOOKUP(G5,Majandusanalüüs!$B:$AM,22,FALSE)+VLOOKUP(H5,Majandusanalüüs!$B:$AM,22,FALSE)</f>
        <v>17608306.923990496</v>
      </c>
      <c r="L5" s="223">
        <f t="shared" si="1"/>
        <v>17539113.159432497</v>
      </c>
      <c r="M5" s="223">
        <f>VLOOKUP(C5,Majandusanalüüs!$B:$AM,21,FALSE)+VLOOKUP(D5,Majandusanalüüs!$B:$AM,21,FALSE)+VLOOKUP(E5,Majandusanalüüs!$B:$AM,21,FALSE)+VLOOKUP(F5,Majandusanalüüs!$B:$AM,21,FALSE)+VLOOKUP(G5,Majandusanalüüs!$B:$AM,21,FALSE)+VLOOKUP(H5,Majandusanalüüs!$B:$AM,21,FALSE)</f>
        <v>69193.764557999995</v>
      </c>
      <c r="N5" s="224">
        <f>SUMIFS(Majandusanalüüs!$AH$4:$AH$87,Majandusanalüüs!$B$4:$B$87,Kokkuvõte!$B5)</f>
        <v>43598</v>
      </c>
      <c r="O5" s="224">
        <f>(VLOOKUP(B5,Majandusanalüüs!$B:$AM,24,FALSE)+VLOOKUP(B5,Majandusanalüüs!$B:$AM,26,FALSE))+VLOOKUP(B5,Majandusanalüüs!$B:$AM,30,FALSE)/Baasandmed!$D$13</f>
        <v>23400</v>
      </c>
      <c r="P5" s="224">
        <f>VLOOKUP(B5,Majandusanalüüs!$B:$AM,28,FALSE)</f>
        <v>10448</v>
      </c>
      <c r="Q5" s="224">
        <f>VLOOKUP(B5,Majandusanalüüs!$B:$AM,32,FALSE)</f>
        <v>9750</v>
      </c>
      <c r="R5" s="226">
        <f>SUMIFS(Majandusanalüüs!$AI$4:$AI$87,Majandusanalüüs!$B$4:$B$87,Kokkuvõte!$B5)</f>
        <v>17564708.923990496</v>
      </c>
      <c r="S5" s="226" t="str">
        <f t="shared" si="2"/>
        <v>15,0-19,9 mln</v>
      </c>
      <c r="T5" s="242">
        <f>VLOOKUP(B5,Majandusanalüüs!$B:$AM,36,FALSE)+VLOOKUP(C5,Majandusanalüüs!$B:$AM,36,FALSE)+VLOOKUP(D5,Majandusanalüüs!$B:$AM,36,FALSE)+VLOOKUP(E5,Majandusanalüüs!$B:$AM,36,FALSE)+VLOOKUP(F5,Majandusanalüüs!$B:$AM,36,FALSE)+VLOOKUP(G5,Majandusanalüüs!$B:$AM,36,FALSE)+VLOOKUP(H5,Majandusanalüüs!$B:$AM,36,FALSE)</f>
        <v>18</v>
      </c>
      <c r="U5" s="242">
        <f>VLOOKUP(B5,Majandusanalüüs!$B:$AM,37,FALSE)+VLOOKUP(C5,Majandusanalüüs!$B:$AM,37,FALSE)+VLOOKUP(D5,Majandusanalüüs!$B:$AM,37,FALSE)+VLOOKUP(E5,Majandusanalüüs!$B:$AM,37,FALSE)+VLOOKUP(F5,Majandusanalüüs!$B:$AM,37,FALSE)+VLOOKUP(G5,Majandusanalüüs!$B:$AM,37,FALSE)+VLOOKUP(H5,Majandusanalüüs!$B:$AM,37,FALSE)</f>
        <v>21</v>
      </c>
      <c r="V5" s="241">
        <f>T5+U5+VLOOKUP(S5,Baasandmed!$S$3:$T$8,2)</f>
        <v>54</v>
      </c>
      <c r="W5" s="225"/>
      <c r="X5" s="83"/>
      <c r="Y5" s="233">
        <v>54</v>
      </c>
      <c r="Z5" s="236" t="str">
        <f t="shared" si="0"/>
        <v>NPK bilanss (integreeritav väetus- ja lupjamissoovitustega)</v>
      </c>
    </row>
    <row r="6" spans="2:26" x14ac:dyDescent="0.25">
      <c r="B6" s="83">
        <v>4.0999999999999996</v>
      </c>
      <c r="C6" s="83">
        <v>4.2</v>
      </c>
      <c r="D6" s="83">
        <v>4.3</v>
      </c>
      <c r="E6" s="83">
        <v>4.4000000000000004</v>
      </c>
      <c r="F6" s="83">
        <v>4.5</v>
      </c>
      <c r="G6" s="83">
        <v>4.5999999999999996</v>
      </c>
      <c r="H6" s="83">
        <v>4.7</v>
      </c>
      <c r="I6" s="217" t="s">
        <v>32</v>
      </c>
      <c r="J6" s="243">
        <f>VLOOKUP(C6,Majandusanalüüs!$B:$AM,7,FALSE)/Baasandmed!$K$26</f>
        <v>0.95</v>
      </c>
      <c r="K6" s="223">
        <f>VLOOKUP(C6,Majandusanalüüs!$B:$AM,22,FALSE)+VLOOKUP(D6,Majandusanalüüs!$B:$AM,22,FALSE)+VLOOKUP(E6,Majandusanalüüs!$B:$AM,22,FALSE)+VLOOKUP(F6,Majandusanalüüs!$B:$AM,22,FALSE)+VLOOKUP(G6,Majandusanalüüs!$B:$AM,22,FALSE)</f>
        <v>2800366.2782100001</v>
      </c>
      <c r="L6" s="223">
        <f>Majandusanalüüs!N26+Majandusanalüüs!P26+Majandusanalüüs!R26</f>
        <v>0</v>
      </c>
      <c r="M6" s="223">
        <f>VLOOKUP(C6,Majandusanalüüs!$B:$AM,21,FALSE)+VLOOKUP(D6,Majandusanalüüs!$B:$AM,21,FALSE)+VLOOKUP(E6,Majandusanalüüs!$B:$AM,21,FALSE)+VLOOKUP(F6,Majandusanalüüs!$B:$AM,21,FALSE)+VLOOKUP(G6,Majandusanalüüs!$B:$AM,21,FALSE)</f>
        <v>2800366.2782100001</v>
      </c>
      <c r="N6" s="224">
        <f>SUMIFS(Majandusanalüüs!$AH$4:$AH$87,Majandusanalüüs!$B$4:$B$87,Kokkuvõte!$B6)</f>
        <v>239050</v>
      </c>
      <c r="O6" s="224">
        <f>(VLOOKUP(B6,Majandusanalüüs!$B:$AM,24,FALSE)+VLOOKUP(B6,Majandusanalüüs!$B:$AM,26,FALSE))+VLOOKUP(B6,Majandusanalüüs!$B:$AM,30,FALSE)/Baasandmed!$D$13</f>
        <v>189050</v>
      </c>
      <c r="P6" s="224">
        <f>VLOOKUP(B6,Majandusanalüüs!$B:$AM,28,FALSE)</f>
        <v>37000</v>
      </c>
      <c r="Q6" s="224">
        <f>VLOOKUP(B6,Majandusanalüüs!$B:$AM,32,FALSE)</f>
        <v>13000</v>
      </c>
      <c r="R6" s="226">
        <f>SUMIFS(Majandusanalüüs!$AI$4:$AI$87,Majandusanalüüs!$B$4:$B$87,Kokkuvõte!$B6)</f>
        <v>2561316.2782100001</v>
      </c>
      <c r="S6" s="226" t="str">
        <f t="shared" si="2"/>
        <v>1,0-4,9 mln</v>
      </c>
      <c r="T6" s="242">
        <f>VLOOKUP(B6,Majandusanalüüs!$B:$AM,36,FALSE)+VLOOKUP(C6,Majandusanalüüs!$B:$AM,36,FALSE)+VLOOKUP(D6,Majandusanalüüs!$B:$AM,36,FALSE)+VLOOKUP(E6,Majandusanalüüs!$B:$AM,36,FALSE)+VLOOKUP(F6,Majandusanalüüs!$B:$AM,36,FALSE)+VLOOKUP(G6,Majandusanalüüs!$B:$AM,36,FALSE)+VLOOKUP(H6,Majandusanalüüs!$B:$AM,36,FALSE)</f>
        <v>27</v>
      </c>
      <c r="U6" s="242">
        <f>VLOOKUP(B6,Majandusanalüüs!$B:$AM,37,FALSE)+VLOOKUP(C6,Majandusanalüüs!$B:$AM,37,FALSE)+VLOOKUP(D6,Majandusanalüüs!$B:$AM,37,FALSE)+VLOOKUP(E6,Majandusanalüüs!$B:$AM,37,FALSE)+VLOOKUP(F6,Majandusanalüüs!$B:$AM,37,FALSE)+VLOOKUP(G6,Majandusanalüüs!$B:$AM,37,FALSE)+VLOOKUP(H6,Majandusanalüüs!$B:$AM,37,FALSE)</f>
        <v>29</v>
      </c>
      <c r="V6" s="241">
        <f>T6+U6+VLOOKUP(S6,Baasandmed!$S$3:$T$8,2)</f>
        <v>71</v>
      </c>
      <c r="W6" s="225"/>
      <c r="X6" s="83"/>
      <c r="Y6" s="233">
        <v>49</v>
      </c>
      <c r="Z6" s="236" t="str">
        <f t="shared" si="0"/>
        <v>Huumusbilanss</v>
      </c>
    </row>
    <row r="7" spans="2:26" x14ac:dyDescent="0.25">
      <c r="B7" s="83">
        <v>5.0999999999999996</v>
      </c>
      <c r="C7" s="83">
        <v>5.2</v>
      </c>
      <c r="D7" s="83">
        <v>5.3</v>
      </c>
      <c r="E7" s="83">
        <v>5.4</v>
      </c>
      <c r="F7" s="83">
        <v>5.5</v>
      </c>
      <c r="G7" s="83">
        <v>5.6</v>
      </c>
      <c r="H7" s="83">
        <v>5.7</v>
      </c>
      <c r="I7" s="220" t="s">
        <v>20</v>
      </c>
      <c r="J7" s="243">
        <f>VLOOKUP(C7,Majandusanalüüs!$B:$AM,7,FALSE)/Baasandmed!$K$3</f>
        <v>0.95</v>
      </c>
      <c r="K7" s="223">
        <f>VLOOKUP(C7,Majandusanalüüs!$B:$AM,22,FALSE)+VLOOKUP(D7,Majandusanalüüs!$B:$AM,22,FALSE)+VLOOKUP(E7,Majandusanalüüs!$B:$AM,22,FALSE)+VLOOKUP(F7,Majandusanalüüs!$B:$AM,22,FALSE)+VLOOKUP(G7,Majandusanalüüs!$B:$AM,22,FALSE)+VLOOKUP(H7,Majandusanalüüs!$B:$AM,22,FALSE)</f>
        <v>15104932.460884295</v>
      </c>
      <c r="L7" s="223">
        <f t="shared" si="1"/>
        <v>14814569.580502495</v>
      </c>
      <c r="M7" s="223">
        <f>VLOOKUP(C7,Majandusanalüüs!$B:$AM,21,FALSE)+VLOOKUP(D7,Majandusanalüüs!$B:$AM,21,FALSE)+VLOOKUP(E7,Majandusanalüüs!$B:$AM,21,FALSE)+VLOOKUP(F7,Majandusanalüüs!$B:$AM,21,FALSE)+VLOOKUP(G7,Majandusanalüüs!$B:$AM,21,FALSE)+VLOOKUP(H7,Majandusanalüüs!$B:$AM,21,FALSE)</f>
        <v>290362.88038180006</v>
      </c>
      <c r="N7" s="224">
        <f>SUMIFS(Majandusanalüüs!$AH$4:$AH$87,Majandusanalüüs!$B$4:$B$87,Kokkuvõte!$B7)</f>
        <v>110795.6</v>
      </c>
      <c r="O7" s="224">
        <f>(VLOOKUP(B7,Majandusanalüüs!$B:$AM,24,FALSE)+VLOOKUP(B7,Majandusanalüüs!$B:$AM,26,FALSE))+VLOOKUP(B7,Majandusanalüüs!$B:$AM,30,FALSE)/Baasandmed!$D$13</f>
        <v>65000</v>
      </c>
      <c r="P7" s="224">
        <f>VLOOKUP(B7,Majandusanalüüs!$B:$AM,28,FALSE)</f>
        <v>36045.599999999999</v>
      </c>
      <c r="Q7" s="224">
        <f>VLOOKUP(B7,Majandusanalüüs!$B:$AM,32,FALSE)</f>
        <v>9750</v>
      </c>
      <c r="R7" s="226">
        <f>SUMIFS(Majandusanalüüs!$AI$4:$AI$87,Majandusanalüüs!$B$4:$B$87,Kokkuvõte!$B7)</f>
        <v>14994136.860884296</v>
      </c>
      <c r="S7" s="226" t="str">
        <f t="shared" si="2"/>
        <v>10,0-14,9 mln</v>
      </c>
      <c r="T7" s="242">
        <f>VLOOKUP(B7,Majandusanalüüs!$B:$AM,36,FALSE)+VLOOKUP(C7,Majandusanalüüs!$B:$AM,36,FALSE)+VLOOKUP(D7,Majandusanalüüs!$B:$AM,36,FALSE)+VLOOKUP(E7,Majandusanalüüs!$B:$AM,36,FALSE)+VLOOKUP(F7,Majandusanalüüs!$B:$AM,36,FALSE)+VLOOKUP(G7,Majandusanalüüs!$B:$AM,36,FALSE)+VLOOKUP(H7,Majandusanalüüs!$B:$AM,36,FALSE)</f>
        <v>15</v>
      </c>
      <c r="U7" s="242">
        <f>VLOOKUP(B7,Majandusanalüüs!$B:$AM,37,FALSE)+VLOOKUP(C7,Majandusanalüüs!$B:$AM,37,FALSE)+VLOOKUP(D7,Majandusanalüüs!$B:$AM,37,FALSE)+VLOOKUP(E7,Majandusanalüüs!$B:$AM,37,FALSE)+VLOOKUP(F7,Majandusanalüüs!$B:$AM,37,FALSE)+VLOOKUP(G7,Majandusanalüüs!$B:$AM,37,FALSE)+VLOOKUP(H7,Majandusanalüüs!$B:$AM,37,FALSE)</f>
        <v>18</v>
      </c>
      <c r="V7" s="241">
        <f>T7+U7+VLOOKUP(S7,Baasandmed!$S$3:$T$8,2)</f>
        <v>48</v>
      </c>
      <c r="W7" s="225"/>
      <c r="X7" s="83"/>
      <c r="Y7" s="233">
        <v>48</v>
      </c>
      <c r="Z7" s="236" t="str">
        <f t="shared" si="0"/>
        <v>Külvikorra kavandaja</v>
      </c>
    </row>
    <row r="8" spans="2:26" ht="45" x14ac:dyDescent="0.25">
      <c r="B8" s="83">
        <v>6.1</v>
      </c>
      <c r="C8" s="83">
        <v>6.2</v>
      </c>
      <c r="D8" s="83">
        <v>6.3</v>
      </c>
      <c r="E8" s="83">
        <v>6.4</v>
      </c>
      <c r="F8" s="83">
        <v>6.5</v>
      </c>
      <c r="G8" s="83">
        <v>6.6</v>
      </c>
      <c r="H8" s="83">
        <v>6.7</v>
      </c>
      <c r="I8" s="219" t="s">
        <v>155</v>
      </c>
      <c r="J8" s="243">
        <f>VLOOKUP(C8,Majandusanalüüs!$B:$AM,7,FALSE)/Baasandmed!$K$3</f>
        <v>0.95</v>
      </c>
      <c r="K8" s="223">
        <f>VLOOKUP(C8,Majandusanalüüs!$B:$AM,22,FALSE)+VLOOKUP(D8,Majandusanalüüs!$B:$AM,22,FALSE)+VLOOKUP(E8,Majandusanalüüs!$B:$AM,22,FALSE)+VLOOKUP(F8,Majandusanalüüs!$B:$AM,22,FALSE)+VLOOKUP(G8,Majandusanalüüs!$B:$AM,22,FALSE)+VLOOKUP(H8,Majandusanalüüs!$B:$AM,22,FALSE)</f>
        <v>716893.40625200002</v>
      </c>
      <c r="L8" s="223">
        <f t="shared" si="1"/>
        <v>0</v>
      </c>
      <c r="M8" s="223">
        <f>VLOOKUP(C8,Majandusanalüüs!$B:$AM,21,FALSE)+VLOOKUP(D8,Majandusanalüüs!$B:$AM,21,FALSE)+VLOOKUP(E8,Majandusanalüüs!$B:$AM,21,FALSE)+VLOOKUP(F8,Majandusanalüüs!$B:$AM,21,FALSE)+VLOOKUP(G8,Majandusanalüüs!$B:$AM,21,FALSE)+VLOOKUP(H8,Majandusanalüüs!$B:$AM,21,FALSE)</f>
        <v>716893.40625200002</v>
      </c>
      <c r="N8" s="224">
        <f>SUMIFS(Majandusanalüüs!$AH$4:$AH$87,Majandusanalüüs!$B$4:$B$87,Kokkuvõte!$B8)</f>
        <v>78800</v>
      </c>
      <c r="O8" s="224">
        <f>(VLOOKUP(B8,Majandusanalüüs!$B:$AM,24,FALSE)+VLOOKUP(B8,Majandusanalüüs!$B:$AM,26,FALSE))+VLOOKUP(B8,Majandusanalüüs!$B:$AM,30,FALSE)/Baasandmed!$D$13</f>
        <v>36400</v>
      </c>
      <c r="P8" s="224">
        <f>VLOOKUP(B8,Majandusanalüüs!$B:$AM,28,FALSE)</f>
        <v>32650</v>
      </c>
      <c r="Q8" s="224">
        <f>VLOOKUP(B8,Majandusanalüüs!$B:$AM,32,FALSE)</f>
        <v>9750</v>
      </c>
      <c r="R8" s="226">
        <f>SUMIFS(Majandusanalüüs!$AI$4:$AI$87,Majandusanalüüs!$B$4:$B$87,Kokkuvõte!$B8)</f>
        <v>638093.40625200002</v>
      </c>
      <c r="S8" s="226" t="str">
        <f t="shared" si="2"/>
        <v>&lt;1,0 mln</v>
      </c>
      <c r="T8" s="242">
        <f>VLOOKUP(B8,Majandusanalüüs!$B:$AM,36,FALSE)+VLOOKUP(C8,Majandusanalüüs!$B:$AM,36,FALSE)+VLOOKUP(D8,Majandusanalüüs!$B:$AM,36,FALSE)+VLOOKUP(E8,Majandusanalüüs!$B:$AM,36,FALSE)+VLOOKUP(F8,Majandusanalüüs!$B:$AM,36,FALSE)+VLOOKUP(G8,Majandusanalüüs!$B:$AM,36,FALSE)+VLOOKUP(H8,Majandusanalüüs!$B:$AM,36,FALSE)</f>
        <v>15</v>
      </c>
      <c r="U8" s="242">
        <f>VLOOKUP(B8,Majandusanalüüs!$B:$AM,37,FALSE)+VLOOKUP(C8,Majandusanalüüs!$B:$AM,37,FALSE)+VLOOKUP(D8,Majandusanalüüs!$B:$AM,37,FALSE)+VLOOKUP(E8,Majandusanalüüs!$B:$AM,37,FALSE)+VLOOKUP(F8,Majandusanalüüs!$B:$AM,37,FALSE)+VLOOKUP(G8,Majandusanalüüs!$B:$AM,37,FALSE)+VLOOKUP(H8,Majandusanalüüs!$B:$AM,37,FALSE)</f>
        <v>14</v>
      </c>
      <c r="V8" s="241">
        <f>T8+U8+VLOOKUP(S8,Baasandmed!$S$3:$T$8,2)</f>
        <v>39</v>
      </c>
      <c r="W8" s="225"/>
      <c r="X8" s="83"/>
      <c r="Y8" s="233">
        <v>48</v>
      </c>
      <c r="Z8" s="236" t="str">
        <f t="shared" si="0"/>
        <v>Külvikorra kavandaja</v>
      </c>
    </row>
    <row r="9" spans="2:26" ht="60" x14ac:dyDescent="0.25">
      <c r="B9" s="83">
        <v>7.1</v>
      </c>
      <c r="C9" s="83">
        <v>7.2</v>
      </c>
      <c r="D9" s="83">
        <v>7.3</v>
      </c>
      <c r="E9" s="83">
        <v>7.4</v>
      </c>
      <c r="F9" s="83">
        <v>7.5</v>
      </c>
      <c r="G9" s="83">
        <v>7.6</v>
      </c>
      <c r="H9" s="83">
        <v>7.7</v>
      </c>
      <c r="I9" s="220" t="s">
        <v>407</v>
      </c>
      <c r="J9" s="243">
        <f>VLOOKUP(C9,Majandusanalüüs!$B:$AM,7,FALSE)/Baasandmed!$K$26</f>
        <v>0.95</v>
      </c>
      <c r="K9" s="223">
        <f>VLOOKUP(C9,Majandusanalüüs!$B:$AM,22,FALSE)+VLOOKUP(D9,Majandusanalüüs!$B:$AM,22,FALSE)+VLOOKUP(E9,Majandusanalüüs!$B:$AM,22,FALSE)+VLOOKUP(F9,Majandusanalüüs!$B:$AM,22,FALSE)+VLOOKUP(G9,Majandusanalüüs!$B:$AM,22,FALSE)+VLOOKUP(H9,Majandusanalüüs!$B:$AM,22,FALSE)</f>
        <v>2016156.3565500001</v>
      </c>
      <c r="L9" s="223">
        <f t="shared" si="1"/>
        <v>0</v>
      </c>
      <c r="M9" s="223">
        <f>VLOOKUP(C9,Majandusanalüüs!$B:$AM,21,FALSE)+VLOOKUP(D9,Majandusanalüüs!$B:$AM,21,FALSE)+VLOOKUP(E9,Majandusanalüüs!$B:$AM,21,FALSE)+VLOOKUP(F9,Majandusanalüüs!$B:$AM,21,FALSE)+VLOOKUP(G9,Majandusanalüüs!$B:$AM,21,FALSE)+VLOOKUP(H9,Majandusanalüüs!$B:$AM,21,FALSE)</f>
        <v>2016156.3565500001</v>
      </c>
      <c r="N9" s="224">
        <f>SUMIFS(Majandusanalüüs!$AH$4:$AH$87,Majandusanalüüs!$B$4:$B$87,Kokkuvõte!$B9)</f>
        <v>195150</v>
      </c>
      <c r="O9" s="224">
        <f>(VLOOKUP(B9,Majandusanalüüs!$B:$AM,24,FALSE)+VLOOKUP(B9,Majandusanalüüs!$B:$AM,26,FALSE))+VLOOKUP(B9,Majandusanalüüs!$B:$AM,30,FALSE)/Baasandmed!$D$13</f>
        <v>149500</v>
      </c>
      <c r="P9" s="224">
        <f>VLOOKUP(B9,Majandusanalüüs!$B:$AM,28,FALSE)</f>
        <v>32650</v>
      </c>
      <c r="Q9" s="224">
        <f>VLOOKUP(B9,Majandusanalüüs!$B:$AM,32,FALSE)</f>
        <v>13000</v>
      </c>
      <c r="R9" s="226">
        <f>SUMIFS(Majandusanalüüs!$AI$4:$AI$87,Majandusanalüüs!$B$4:$B$87,Kokkuvõte!$B9)</f>
        <v>1821006.3565500001</v>
      </c>
      <c r="S9" s="226" t="str">
        <f t="shared" si="2"/>
        <v>1,0-4,9 mln</v>
      </c>
      <c r="T9" s="242">
        <f>VLOOKUP(B9,Majandusanalüüs!$B:$AM,36,FALSE)+VLOOKUP(C9,Majandusanalüüs!$B:$AM,36,FALSE)+VLOOKUP(D9,Majandusanalüüs!$B:$AM,36,FALSE)+VLOOKUP(E9,Majandusanalüüs!$B:$AM,36,FALSE)+VLOOKUP(F9,Majandusanalüüs!$B:$AM,36,FALSE)+VLOOKUP(G9,Majandusanalüüs!$B:$AM,36,FALSE)+VLOOKUP(H9,Majandusanalüüs!$B:$AM,36,FALSE)</f>
        <v>14</v>
      </c>
      <c r="U9" s="242">
        <f>VLOOKUP(B9,Majandusanalüüs!$B:$AM,37,FALSE)+VLOOKUP(C9,Majandusanalüüs!$B:$AM,37,FALSE)+VLOOKUP(D9,Majandusanalüüs!$B:$AM,37,FALSE)+VLOOKUP(E9,Majandusanalüüs!$B:$AM,37,FALSE)+VLOOKUP(F9,Majandusanalüüs!$B:$AM,37,FALSE)+VLOOKUP(G9,Majandusanalüüs!$B:$AM,37,FALSE)+VLOOKUP(H9,Majandusanalüüs!$B:$AM,37,FALSE)</f>
        <v>14</v>
      </c>
      <c r="V9" s="241">
        <f>T9+U9+VLOOKUP(S9,Baasandmed!$S$3:$T$8,2)</f>
        <v>43</v>
      </c>
      <c r="W9" s="225"/>
      <c r="X9" s="83"/>
      <c r="Y9" s="233">
        <v>48</v>
      </c>
      <c r="Z9" s="236" t="str">
        <f t="shared" si="0"/>
        <v>Külvikorra kavandaja</v>
      </c>
    </row>
    <row r="10" spans="2:26" ht="75" x14ac:dyDescent="0.25">
      <c r="B10" s="83">
        <v>8.1</v>
      </c>
      <c r="C10" s="83">
        <v>8.1999999999999993</v>
      </c>
      <c r="D10" s="83">
        <v>8.3000000000000007</v>
      </c>
      <c r="E10" s="83">
        <v>8.4</v>
      </c>
      <c r="F10" s="83">
        <v>8.5</v>
      </c>
      <c r="G10" s="83">
        <v>8.6</v>
      </c>
      <c r="H10" s="83">
        <v>8.6999999999999993</v>
      </c>
      <c r="I10" s="219" t="s">
        <v>408</v>
      </c>
      <c r="J10" s="243">
        <f>VLOOKUP(C10,Majandusanalüüs!$B:$AM,7,FALSE)/Baasandmed!$K$26</f>
        <v>0.95</v>
      </c>
      <c r="K10" s="223">
        <f>VLOOKUP(C10,Majandusanalüüs!$B:$AM,22,FALSE)+VLOOKUP(D10,Majandusanalüüs!$B:$AM,22,FALSE)+VLOOKUP(E10,Majandusanalüüs!$B:$AM,22,FALSE)+VLOOKUP(F10,Majandusanalüüs!$B:$AM,22,FALSE)+VLOOKUP(G10,Majandusanalüüs!$B:$AM,22,FALSE)+VLOOKUP(H10,Majandusanalüüs!$B:$AM,22,FALSE)</f>
        <v>861268.97875000013</v>
      </c>
      <c r="L10" s="223">
        <f t="shared" si="1"/>
        <v>0</v>
      </c>
      <c r="M10" s="223">
        <f>VLOOKUP(C10,Majandusanalüüs!$B:$AM,21,FALSE)+VLOOKUP(D10,Majandusanalüüs!$B:$AM,21,FALSE)+VLOOKUP(E10,Majandusanalüüs!$B:$AM,21,FALSE)+VLOOKUP(F10,Majandusanalüüs!$B:$AM,21,FALSE)+VLOOKUP(G10,Majandusanalüüs!$B:$AM,21,FALSE)+VLOOKUP(H10,Majandusanalüüs!$B:$AM,21,FALSE)</f>
        <v>861268.97875000013</v>
      </c>
      <c r="N10" s="224">
        <f>SUMIFS(Majandusanalüüs!$AH$4:$AH$87,Majandusanalüüs!$B$4:$B$87,Kokkuvõte!$B10)</f>
        <v>11259.4</v>
      </c>
      <c r="O10" s="224">
        <f>(VLOOKUP(B10,Majandusanalüüs!$B:$AM,24,FALSE)+VLOOKUP(B10,Majandusanalüüs!$B:$AM,26,FALSE))+VLOOKUP(B10,Majandusanalüüs!$B:$AM,30,FALSE)/Baasandmed!$D$13</f>
        <v>6500</v>
      </c>
      <c r="P10" s="224">
        <f>VLOOKUP(B10,Majandusanalüüs!$B:$AM,28,FALSE)</f>
        <v>3134.4</v>
      </c>
      <c r="Q10" s="224">
        <f>VLOOKUP(B10,Majandusanalüüs!$B:$AM,32,FALSE)</f>
        <v>1625</v>
      </c>
      <c r="R10" s="226">
        <f>SUMIFS(Majandusanalüüs!$AI$4:$AI$87,Majandusanalüüs!$B$4:$B$87,Kokkuvõte!$B10)</f>
        <v>850009.5787500001</v>
      </c>
      <c r="S10" s="226" t="str">
        <f t="shared" si="2"/>
        <v>&lt;1,0 mln</v>
      </c>
      <c r="T10" s="242">
        <f>VLOOKUP(B10,Majandusanalüüs!$B:$AM,36,FALSE)+VLOOKUP(C10,Majandusanalüüs!$B:$AM,36,FALSE)+VLOOKUP(D10,Majandusanalüüs!$B:$AM,36,FALSE)+VLOOKUP(E10,Majandusanalüüs!$B:$AM,36,FALSE)+VLOOKUP(F10,Majandusanalüüs!$B:$AM,36,FALSE)+VLOOKUP(G10,Majandusanalüüs!$B:$AM,36,FALSE)+VLOOKUP(H10,Majandusanalüüs!$B:$AM,36,FALSE)</f>
        <v>20</v>
      </c>
      <c r="U10" s="242">
        <f>VLOOKUP(B10,Majandusanalüüs!$B:$AM,37,FALSE)+VLOOKUP(C10,Majandusanalüüs!$B:$AM,37,FALSE)+VLOOKUP(D10,Majandusanalüüs!$B:$AM,37,FALSE)+VLOOKUP(E10,Majandusanalüüs!$B:$AM,37,FALSE)+VLOOKUP(F10,Majandusanalüüs!$B:$AM,37,FALSE)+VLOOKUP(G10,Majandusanalüüs!$B:$AM,37,FALSE)+VLOOKUP(H10,Majandusanalüüs!$B:$AM,37,FALSE)</f>
        <v>14</v>
      </c>
      <c r="V10" s="241">
        <f>T10+U10+VLOOKUP(S10,Baasandmed!$S$3:$T$8,2)</f>
        <v>44</v>
      </c>
      <c r="W10" s="225"/>
      <c r="X10" s="83"/>
      <c r="Y10" s="233">
        <v>44</v>
      </c>
      <c r="Z10" s="236" t="str">
        <f t="shared" si="0"/>
        <v>Registri teenused: Väetiste registri teenused; Taimekaitsevahendite registri veebiteenused; Sordiregistri veebiteenused (olemas)</v>
      </c>
    </row>
    <row r="11" spans="2:26" ht="60" x14ac:dyDescent="0.25">
      <c r="B11" s="83">
        <v>9.1</v>
      </c>
      <c r="C11" s="83">
        <v>9.1999999999999993</v>
      </c>
      <c r="D11" s="83">
        <v>9.3000000000000007</v>
      </c>
      <c r="E11" s="83">
        <v>9.4</v>
      </c>
      <c r="F11" s="83">
        <v>9.5</v>
      </c>
      <c r="G11" s="83">
        <v>9.6</v>
      </c>
      <c r="H11" s="83">
        <v>9.6999999999999993</v>
      </c>
      <c r="I11" s="220" t="s">
        <v>409</v>
      </c>
      <c r="J11" s="243">
        <f>VLOOKUP(C11,Majandusanalüüs!$B:$AM,7,FALSE)/Majandusanalüüs!$H$61</f>
        <v>1</v>
      </c>
      <c r="K11" s="223">
        <f>VLOOKUP(C11,Majandusanalüüs!$B:$AM,22,FALSE)+VLOOKUP(D11,Majandusanalüüs!$B:$AM,22,FALSE)+VLOOKUP(E11,Majandusanalüüs!$B:$AM,22,FALSE)+VLOOKUP(F11,Majandusanalüüs!$B:$AM,22,FALSE)+VLOOKUP(G11,Majandusanalüüs!$B:$AM,22,FALSE)+VLOOKUP(H11,Majandusanalüüs!$B:$AM,22,FALSE)</f>
        <v>309194.3</v>
      </c>
      <c r="L11" s="223">
        <f t="shared" si="1"/>
        <v>0</v>
      </c>
      <c r="M11" s="223">
        <f>VLOOKUP(C11,Majandusanalüüs!$B:$AM,21,FALSE)+VLOOKUP(D11,Majandusanalüüs!$B:$AM,21,FALSE)+VLOOKUP(E11,Majandusanalüüs!$B:$AM,21,FALSE)+VLOOKUP(F11,Majandusanalüüs!$B:$AM,21,FALSE)+VLOOKUP(G11,Majandusanalüüs!$B:$AM,21,FALSE)+VLOOKUP(H11,Majandusanalüüs!$B:$AM,21,FALSE)</f>
        <v>309194.3</v>
      </c>
      <c r="N11" s="224">
        <f>SUMIFS(Majandusanalüüs!$AH$4:$AH$87,Majandusanalüüs!$B$4:$B$87,Kokkuvõte!$B11)</f>
        <v>21218.799999999999</v>
      </c>
      <c r="O11" s="224">
        <f>(VLOOKUP(B11,Majandusanalüüs!$B:$AM,24,FALSE)+VLOOKUP(B11,Majandusanalüüs!$B:$AM,26,FALSE))+VLOOKUP(B11,Majandusanalüüs!$B:$AM,30,FALSE)/Baasandmed!$D$13</f>
        <v>9750</v>
      </c>
      <c r="P11" s="224">
        <f>VLOOKUP(B11,Majandusanalüüs!$B:$AM,28,FALSE)</f>
        <v>6268.8</v>
      </c>
      <c r="Q11" s="224">
        <f>VLOOKUP(B11,Majandusanalüüs!$B:$AM,32,FALSE)</f>
        <v>5200</v>
      </c>
      <c r="R11" s="226">
        <f>SUMIFS(Majandusanalüüs!$AI$4:$AI$87,Majandusanalüüs!$B$4:$B$87,Kokkuvõte!$B11)</f>
        <v>287975.5</v>
      </c>
      <c r="S11" s="226" t="str">
        <f t="shared" si="2"/>
        <v>&lt;1,0 mln</v>
      </c>
      <c r="T11" s="242">
        <f>VLOOKUP(B11,Majandusanalüüs!$B:$AM,36,FALSE)+VLOOKUP(C11,Majandusanalüüs!$B:$AM,36,FALSE)+VLOOKUP(D11,Majandusanalüüs!$B:$AM,36,FALSE)+VLOOKUP(E11,Majandusanalüüs!$B:$AM,36,FALSE)+VLOOKUP(F11,Majandusanalüüs!$B:$AM,36,FALSE)+VLOOKUP(G11,Majandusanalüüs!$B:$AM,36,FALSE)+VLOOKUP(H11,Majandusanalüüs!$B:$AM,36,FALSE)</f>
        <v>14</v>
      </c>
      <c r="U11" s="242">
        <f>VLOOKUP(B11,Majandusanalüüs!$B:$AM,37,FALSE)+VLOOKUP(C11,Majandusanalüüs!$B:$AM,37,FALSE)+VLOOKUP(D11,Majandusanalüüs!$B:$AM,37,FALSE)+VLOOKUP(E11,Majandusanalüüs!$B:$AM,37,FALSE)+VLOOKUP(F11,Majandusanalüüs!$B:$AM,37,FALSE)+VLOOKUP(G11,Majandusanalüüs!$B:$AM,37,FALSE)+VLOOKUP(H11,Majandusanalüüs!$B:$AM,37,FALSE)</f>
        <v>14</v>
      </c>
      <c r="V11" s="241">
        <f>T11+U11+VLOOKUP(S11,Baasandmed!$S$3:$T$8,2)</f>
        <v>38</v>
      </c>
      <c r="W11" s="225"/>
      <c r="X11" s="83"/>
      <c r="Y11" s="233">
        <v>43</v>
      </c>
      <c r="Z11" s="236" t="str">
        <f t="shared" si="0"/>
        <v>Toetuse taotlejale esitatavate nõuete info jagamine; Toetuste taotluste automaatesitamise teenused</v>
      </c>
    </row>
    <row r="12" spans="2:26" ht="45" x14ac:dyDescent="0.25">
      <c r="B12" s="83">
        <v>10.1</v>
      </c>
      <c r="C12" s="83">
        <v>10.199999999999999</v>
      </c>
      <c r="D12" s="83">
        <v>10.3</v>
      </c>
      <c r="E12" s="83">
        <v>10.4</v>
      </c>
      <c r="F12" s="83">
        <v>10.5</v>
      </c>
      <c r="G12" s="83">
        <v>10.6</v>
      </c>
      <c r="H12" s="83">
        <v>10.7</v>
      </c>
      <c r="I12" s="219" t="s">
        <v>410</v>
      </c>
      <c r="J12" s="243">
        <f>VLOOKUP(C12,Majandusanalüüs!$B:$AM,7,FALSE)/Baasandmed!$K$26</f>
        <v>0.95</v>
      </c>
      <c r="K12" s="223">
        <f>VLOOKUP(C12,Majandusanalüüs!$B:$AM,22,FALSE)+VLOOKUP(D12,Majandusanalüüs!$B:$AM,22,FALSE)+VLOOKUP(E12,Majandusanalüüs!$B:$AM,22,FALSE)+VLOOKUP(F12,Majandusanalüüs!$B:$AM,22,FALSE)+VLOOKUP(G12,Majandusanalüüs!$B:$AM,22,FALSE)+VLOOKUP(H12,Majandusanalüüs!$B:$AM,22,FALSE)</f>
        <v>24917881.525109995</v>
      </c>
      <c r="L12" s="223">
        <f t="shared" si="1"/>
        <v>24748922.757809997</v>
      </c>
      <c r="M12" s="223">
        <f>VLOOKUP(C12,Majandusanalüüs!$B:$AM,21,FALSE)+VLOOKUP(D12,Majandusanalüüs!$B:$AM,21,FALSE)+VLOOKUP(E12,Majandusanalüüs!$B:$AM,21,FALSE)+VLOOKUP(F12,Majandusanalüüs!$B:$AM,21,FALSE)+VLOOKUP(G12,Majandusanalüüs!$B:$AM,21,FALSE)+VLOOKUP(H12,Majandusanalüüs!$B:$AM,21,FALSE)</f>
        <v>168958.76729999998</v>
      </c>
      <c r="N12" s="224">
        <f>SUMIFS(Majandusanalüüs!$AH$4:$AH$87,Majandusanalüüs!$B$4:$B$87,Kokkuvõte!$B12)</f>
        <v>344620</v>
      </c>
      <c r="O12" s="224">
        <f>(VLOOKUP(B12,Majandusanalüüs!$B:$AM,24,FALSE)+VLOOKUP(B12,Majandusanalüüs!$B:$AM,26,FALSE))+VLOOKUP(B12,Majandusanalüüs!$B:$AM,30,FALSE)/Baasandmed!$D$13</f>
        <v>308750</v>
      </c>
      <c r="P12" s="224">
        <f>VLOOKUP(B12,Majandusanalüüs!$B:$AM,28,FALSE)</f>
        <v>26120</v>
      </c>
      <c r="Q12" s="224">
        <f>VLOOKUP(B12,Majandusanalüüs!$B:$AM,32,FALSE)</f>
        <v>9750</v>
      </c>
      <c r="R12" s="226">
        <f>SUMIFS(Majandusanalüüs!$AI$4:$AI$87,Majandusanalüüs!$B$4:$B$87,Kokkuvõte!$B12)</f>
        <v>24573261.525109995</v>
      </c>
      <c r="S12" s="226" t="str">
        <f t="shared" si="2"/>
        <v>&gt;20,0 mln</v>
      </c>
      <c r="T12" s="242">
        <f>VLOOKUP(B12,Majandusanalüüs!$B:$AM,36,FALSE)+VLOOKUP(C12,Majandusanalüüs!$B:$AM,36,FALSE)+VLOOKUP(D12,Majandusanalüüs!$B:$AM,36,FALSE)+VLOOKUP(E12,Majandusanalüüs!$B:$AM,36,FALSE)+VLOOKUP(F12,Majandusanalüüs!$B:$AM,36,FALSE)+VLOOKUP(G12,Majandusanalüüs!$B:$AM,36,FALSE)+VLOOKUP(H12,Majandusanalüüs!$B:$AM,36,FALSE)</f>
        <v>17</v>
      </c>
      <c r="U12" s="242">
        <f>VLOOKUP(B12,Majandusanalüüs!$B:$AM,37,FALSE)+VLOOKUP(C12,Majandusanalüüs!$B:$AM,37,FALSE)+VLOOKUP(D12,Majandusanalüüs!$B:$AM,37,FALSE)+VLOOKUP(E12,Majandusanalüüs!$B:$AM,37,FALSE)+VLOOKUP(F12,Majandusanalüüs!$B:$AM,37,FALSE)+VLOOKUP(G12,Majandusanalüüs!$B:$AM,37,FALSE)+VLOOKUP(H12,Majandusanalüüs!$B:$AM,37,FALSE)</f>
        <v>21</v>
      </c>
      <c r="V12" s="241">
        <f>T12+U12+VLOOKUP(S12,Baasandmed!$S$3:$T$8,2)</f>
        <v>48</v>
      </c>
      <c r="W12" s="225"/>
      <c r="X12" s="83"/>
      <c r="Y12" s="233">
        <v>41</v>
      </c>
      <c r="Z12" s="236" t="str">
        <f t="shared" si="0"/>
        <v>Liigniiskete alade seire (sisend veeindeksite teenusele (komplektis)</v>
      </c>
    </row>
    <row r="13" spans="2:26" ht="30" x14ac:dyDescent="0.25">
      <c r="B13" s="83">
        <v>11.1</v>
      </c>
      <c r="C13" s="83">
        <v>11.2</v>
      </c>
      <c r="D13" s="83">
        <v>11.3</v>
      </c>
      <c r="E13" s="83">
        <v>11.4</v>
      </c>
      <c r="F13" s="83">
        <v>11.5</v>
      </c>
      <c r="G13" s="83">
        <v>11.6</v>
      </c>
      <c r="H13" s="83">
        <v>11.7</v>
      </c>
      <c r="I13" s="220" t="s">
        <v>411</v>
      </c>
      <c r="J13" s="243">
        <f>VLOOKUP(C13,Majandusanalüüs!$B:$AM,7,FALSE)/Baasandmed!$K$3</f>
        <v>0.95</v>
      </c>
      <c r="K13" s="223">
        <f>VLOOKUP(C13,Majandusanalüüs!$B:$AM,22,FALSE)+VLOOKUP(D13,Majandusanalüüs!$B:$AM,22,FALSE)+VLOOKUP(E13,Majandusanalüüs!$B:$AM,22,FALSE)+VLOOKUP(F13,Majandusanalüüs!$B:$AM,22,FALSE)+VLOOKUP(G13,Majandusanalüüs!$B:$AM,22,FALSE)+VLOOKUP(H13,Majandusanalüüs!$B:$AM,22,FALSE)</f>
        <v>156910.5405</v>
      </c>
      <c r="L13" s="223">
        <f t="shared" si="1"/>
        <v>0</v>
      </c>
      <c r="M13" s="223">
        <f>VLOOKUP(C13,Majandusanalüüs!$B:$AM,21,FALSE)+VLOOKUP(D13,Majandusanalüüs!$B:$AM,21,FALSE)+VLOOKUP(E13,Majandusanalüüs!$B:$AM,21,FALSE)+VLOOKUP(F13,Majandusanalüüs!$B:$AM,21,FALSE)+VLOOKUP(G13,Majandusanalüüs!$B:$AM,21,FALSE)+VLOOKUP(H13,Majandusanalüüs!$B:$AM,21,FALSE)</f>
        <v>156910.5405</v>
      </c>
      <c r="N13" s="224">
        <f>SUMIFS(Majandusanalüüs!$AH$4:$AH$87,Majandusanalüüs!$B$4:$B$87,Kokkuvõte!$B13)</f>
        <v>71145.600000000006</v>
      </c>
      <c r="O13" s="224">
        <f>(VLOOKUP(B13,Majandusanalüüs!$B:$AM,24,FALSE)+VLOOKUP(B13,Majandusanalüüs!$B:$AM,26,FALSE))+VLOOKUP(B13,Majandusanalüüs!$B:$AM,30,FALSE)/Baasandmed!$D$13</f>
        <v>32500</v>
      </c>
      <c r="P13" s="224">
        <f>VLOOKUP(B13,Majandusanalüüs!$B:$AM,28,FALSE)</f>
        <v>36045.599999999999</v>
      </c>
      <c r="Q13" s="224">
        <f>VLOOKUP(B13,Majandusanalüüs!$B:$AM,32,FALSE)</f>
        <v>2600</v>
      </c>
      <c r="R13" s="226">
        <f>SUMIFS(Majandusanalüüs!$AI$4:$AI$87,Majandusanalüüs!$B$4:$B$87,Kokkuvõte!$B13)</f>
        <v>85764.940499999997</v>
      </c>
      <c r="S13" s="226" t="str">
        <f t="shared" si="2"/>
        <v>&lt;1,0 mln</v>
      </c>
      <c r="T13" s="242">
        <f>VLOOKUP(B13,Majandusanalüüs!$B:$AM,36,FALSE)+VLOOKUP(C13,Majandusanalüüs!$B:$AM,36,FALSE)+VLOOKUP(D13,Majandusanalüüs!$B:$AM,36,FALSE)+VLOOKUP(E13,Majandusanalüüs!$B:$AM,36,FALSE)+VLOOKUP(F13,Majandusanalüüs!$B:$AM,36,FALSE)+VLOOKUP(G13,Majandusanalüüs!$B:$AM,36,FALSE)+VLOOKUP(H13,Majandusanalüüs!$B:$AM,36,FALSE)</f>
        <v>17</v>
      </c>
      <c r="U13" s="242">
        <f>VLOOKUP(B13,Majandusanalüüs!$B:$AM,37,FALSE)+VLOOKUP(C13,Majandusanalüüs!$B:$AM,37,FALSE)+VLOOKUP(D13,Majandusanalüüs!$B:$AM,37,FALSE)+VLOOKUP(E13,Majandusanalüüs!$B:$AM,37,FALSE)+VLOOKUP(F13,Majandusanalüüs!$B:$AM,37,FALSE)+VLOOKUP(G13,Majandusanalüüs!$B:$AM,37,FALSE)+VLOOKUP(H13,Majandusanalüüs!$B:$AM,37,FALSE)</f>
        <v>21</v>
      </c>
      <c r="V13" s="241">
        <f>T13+U13+VLOOKUP(S13,Baasandmed!$S$3:$T$8,2)</f>
        <v>48</v>
      </c>
      <c r="W13" s="225"/>
      <c r="X13" s="83"/>
      <c r="Y13" s="233">
        <v>39</v>
      </c>
      <c r="Z13" s="236" t="str">
        <f t="shared" si="0"/>
        <v>Integreeritud agrometeoroloogia andmete jagamise teenus (olemas +)</v>
      </c>
    </row>
    <row r="14" spans="2:26" ht="45" x14ac:dyDescent="0.25">
      <c r="B14" s="83">
        <v>12.1</v>
      </c>
      <c r="C14" s="83">
        <v>12.2</v>
      </c>
      <c r="D14" s="83">
        <v>12.3</v>
      </c>
      <c r="E14" s="83">
        <v>12.4</v>
      </c>
      <c r="F14" s="83">
        <v>12.5</v>
      </c>
      <c r="G14" s="83">
        <v>12.6</v>
      </c>
      <c r="H14" s="83">
        <v>12.7</v>
      </c>
      <c r="I14" s="217" t="s">
        <v>164</v>
      </c>
      <c r="J14" s="243">
        <f>VLOOKUP(C14,Majandusanalüüs!$B:$AM,7,FALSE)/Baasandmed!$K$26</f>
        <v>0.95</v>
      </c>
      <c r="K14" s="223">
        <f>VLOOKUP(C14,Majandusanalüüs!$B:$AM,22,FALSE)+VLOOKUP(D14,Majandusanalüüs!$B:$AM,22,FALSE)+VLOOKUP(E14,Majandusanalüüs!$B:$AM,22,FALSE)+VLOOKUP(F14,Majandusanalüüs!$B:$AM,22,FALSE)+VLOOKUP(G14,Majandusanalüüs!$B:$AM,22,FALSE)+VLOOKUP(H14,Majandusanalüüs!$B:$AM,22,FALSE)</f>
        <v>12696593.517852496</v>
      </c>
      <c r="L14" s="223">
        <f t="shared" si="1"/>
        <v>11824849.409797497</v>
      </c>
      <c r="M14" s="223">
        <f>VLOOKUP(C14,Majandusanalüüs!$B:$AM,21,FALSE)+VLOOKUP(D14,Majandusanalüüs!$B:$AM,21,FALSE)+VLOOKUP(E14,Majandusanalüüs!$B:$AM,21,FALSE)+VLOOKUP(F14,Majandusanalüüs!$B:$AM,21,FALSE)+VLOOKUP(G14,Majandusanalüüs!$B:$AM,21,FALSE)+VLOOKUP(H14,Majandusanalüüs!$B:$AM,21,FALSE)</f>
        <v>871744.10805500019</v>
      </c>
      <c r="N14" s="224">
        <f>SUMIFS(Majandusanalüüs!$AH$4:$AH$87,Majandusanalüüs!$B$4:$B$87,Kokkuvõte!$B14)</f>
        <v>45268.800000000003</v>
      </c>
      <c r="O14" s="224">
        <f>(VLOOKUP(B14,Majandusanalüüs!$B:$AM,24,FALSE)+VLOOKUP(B14,Majandusanalüüs!$B:$AM,26,FALSE))+VLOOKUP(B14,Majandusanalüüs!$B:$AM,30,FALSE)/Baasandmed!$D$13</f>
        <v>36400</v>
      </c>
      <c r="P14" s="224">
        <f>VLOOKUP(B14,Majandusanalüüs!$B:$AM,28,FALSE)</f>
        <v>6268.8</v>
      </c>
      <c r="Q14" s="224">
        <f>VLOOKUP(B14,Majandusanalüüs!$B:$AM,32,FALSE)</f>
        <v>2600</v>
      </c>
      <c r="R14" s="226">
        <f>SUMIFS(Majandusanalüüs!$AI$4:$AI$87,Majandusanalüüs!$B$4:$B$87,Kokkuvõte!$B14)</f>
        <v>12651324.717852496</v>
      </c>
      <c r="S14" s="226" t="str">
        <f t="shared" si="2"/>
        <v>10,0-14,9 mln</v>
      </c>
      <c r="T14" s="242">
        <f>VLOOKUP(B14,Majandusanalüüs!$B:$AM,36,FALSE)+VLOOKUP(C14,Majandusanalüüs!$B:$AM,36,FALSE)+VLOOKUP(D14,Majandusanalüüs!$B:$AM,36,FALSE)+VLOOKUP(E14,Majandusanalüüs!$B:$AM,36,FALSE)+VLOOKUP(F14,Majandusanalüüs!$B:$AM,36,FALSE)+VLOOKUP(G14,Majandusanalüüs!$B:$AM,36,FALSE)+VLOOKUP(H14,Majandusanalüüs!$B:$AM,36,FALSE)</f>
        <v>12</v>
      </c>
      <c r="U14" s="242">
        <f>VLOOKUP(B14,Majandusanalüüs!$B:$AM,37,FALSE)+VLOOKUP(C14,Majandusanalüüs!$B:$AM,37,FALSE)+VLOOKUP(D14,Majandusanalüüs!$B:$AM,37,FALSE)+VLOOKUP(E14,Majandusanalüüs!$B:$AM,37,FALSE)+VLOOKUP(F14,Majandusanalüüs!$B:$AM,37,FALSE)+VLOOKUP(G14,Majandusanalüüs!$B:$AM,37,FALSE)+VLOOKUP(H14,Majandusanalüüs!$B:$AM,37,FALSE)</f>
        <v>14</v>
      </c>
      <c r="V14" s="241">
        <f>T14+U14+VLOOKUP(S14,Baasandmed!$S$3:$T$8,2)</f>
        <v>41</v>
      </c>
      <c r="W14" s="225"/>
      <c r="X14" s="83"/>
      <c r="Y14" s="233">
        <v>38</v>
      </c>
      <c r="Z14" s="236" t="str">
        <f t="shared" si="0"/>
        <v>FADN andmete visualiseerimise teenus (+standartnäitajate jagamine); Majandusliku suuruse ja tootmistüübi kalkulaator (FADN)</v>
      </c>
    </row>
    <row r="16" spans="2:26" x14ac:dyDescent="0.25">
      <c r="B16" s="83"/>
      <c r="I16" s="83"/>
      <c r="N16" s="83" t="s">
        <v>412</v>
      </c>
      <c r="R16" s="225">
        <f>MIN(R3:R14)</f>
        <v>85764.940499999997</v>
      </c>
      <c r="V16" s="83"/>
      <c r="W16" s="83"/>
      <c r="X16" s="83"/>
      <c r="Y16" s="83"/>
      <c r="Z16" s="83"/>
    </row>
    <row r="17" spans="14:18" x14ac:dyDescent="0.25">
      <c r="N17" s="83" t="s">
        <v>413</v>
      </c>
      <c r="R17" s="225">
        <f>MAX(R4:R15)</f>
        <v>24573261.525109995</v>
      </c>
    </row>
  </sheetData>
  <sheetProtection sheet="1" objects="1" scenarios="1"/>
  <conditionalFormatting sqref="S3:S14">
    <cfRule type="top10" dxfId="0" priority="3" rank="10"/>
  </conditionalFormatting>
  <conditionalFormatting sqref="Y3:Y14">
    <cfRule type="colorScale" priority="1">
      <colorScale>
        <cfvo type="min"/>
        <cfvo type="percentile" val="50"/>
        <cfvo type="max"/>
        <color rgb="FFF8696B"/>
        <color rgb="FFFFEB84"/>
        <color rgb="FF63BE7B"/>
      </colorScale>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92D050"/>
  </sheetPr>
  <dimension ref="A1:AR87"/>
  <sheetViews>
    <sheetView zoomScale="70" zoomScaleNormal="70" workbookViewId="0">
      <pane xSplit="5" ySplit="3" topLeftCell="W4" activePane="bottomRight" state="frozen"/>
      <selection pane="topRight" activeCell="E1" sqref="E1"/>
      <selection pane="bottomLeft" activeCell="A4" sqref="A4"/>
      <selection pane="bottomRight" activeCell="C32" sqref="C32"/>
    </sheetView>
  </sheetViews>
  <sheetFormatPr defaultRowHeight="15" x14ac:dyDescent="0.25"/>
  <cols>
    <col min="1" max="1" width="4.140625" style="83" customWidth="1"/>
    <col min="2" max="2" width="5.85546875" style="247" customWidth="1"/>
    <col min="3" max="3" width="22.42578125" customWidth="1"/>
    <col min="4" max="4" width="11.85546875" customWidth="1"/>
    <col min="5" max="5" width="16.42578125" style="83" customWidth="1"/>
    <col min="6" max="7" width="12.140625" style="83" customWidth="1"/>
    <col min="8" max="8" width="10" style="48" customWidth="1"/>
    <col min="9" max="9" width="10.140625" customWidth="1"/>
    <col min="10" max="10" width="11.140625" style="83" customWidth="1"/>
    <col min="11" max="11" width="18.42578125" style="83" customWidth="1"/>
    <col min="12" max="12" width="17.5703125" style="83" customWidth="1"/>
    <col min="13" max="13" width="11" style="289" customWidth="1"/>
    <col min="14" max="14" width="11.140625" style="83" customWidth="1"/>
    <col min="15" max="15" width="11.5703125" style="289" customWidth="1"/>
    <col min="16" max="16" width="11.5703125" style="83" customWidth="1"/>
    <col min="17" max="17" width="11.5703125" style="289" customWidth="1"/>
    <col min="18" max="18" width="13.42578125" style="83" customWidth="1"/>
    <col min="19" max="19" width="11.42578125" style="289" customWidth="1"/>
    <col min="20" max="20" width="11.42578125" style="83" customWidth="1"/>
    <col min="21" max="21" width="16.140625" style="289" customWidth="1"/>
    <col min="22" max="22" width="16.140625" style="83" customWidth="1"/>
    <col min="23" max="23" width="9.85546875" style="83" customWidth="1"/>
    <col min="24" max="24" width="12.5703125" style="289" customWidth="1"/>
    <col min="25" max="25" width="12.5703125" style="83" customWidth="1"/>
    <col min="26" max="26" width="12.5703125" style="289" customWidth="1"/>
    <col min="27" max="27" width="12.5703125" style="55" customWidth="1"/>
    <col min="28" max="28" width="15.85546875" style="289" customWidth="1"/>
    <col min="29" max="29" width="15.85546875" style="83" customWidth="1"/>
    <col min="30" max="30" width="10.140625" style="289" customWidth="1"/>
    <col min="31" max="31" width="10.140625" style="55" customWidth="1"/>
    <col min="32" max="32" width="11.140625" style="289" customWidth="1"/>
    <col min="33" max="33" width="11.140625" style="83" customWidth="1"/>
    <col min="34" max="34" width="8.85546875" style="83" customWidth="1"/>
    <col min="35" max="35" width="12.140625" style="83" bestFit="1" customWidth="1" collapsed="1"/>
    <col min="36" max="36" width="14" customWidth="1"/>
    <col min="37" max="37" width="12.85546875" style="289" customWidth="1"/>
    <col min="38" max="38" width="9.140625" style="289"/>
    <col min="39" max="39" width="14" style="83" customWidth="1"/>
  </cols>
  <sheetData>
    <row r="1" spans="1:44" s="248" customFormat="1" x14ac:dyDescent="0.25">
      <c r="B1" s="248">
        <v>1</v>
      </c>
      <c r="C1" s="248">
        <v>2</v>
      </c>
      <c r="D1" s="248">
        <v>3</v>
      </c>
      <c r="E1" s="248">
        <v>4</v>
      </c>
      <c r="F1" s="248">
        <v>5</v>
      </c>
      <c r="G1" s="248">
        <v>6</v>
      </c>
      <c r="H1" s="248">
        <v>7</v>
      </c>
      <c r="I1" s="248">
        <v>8</v>
      </c>
      <c r="J1" s="248">
        <v>9</v>
      </c>
      <c r="K1" s="248">
        <v>10</v>
      </c>
      <c r="L1" s="248">
        <v>11</v>
      </c>
      <c r="M1" s="278">
        <v>12</v>
      </c>
      <c r="N1" s="248">
        <v>13</v>
      </c>
      <c r="O1" s="278">
        <v>14</v>
      </c>
      <c r="P1" s="248">
        <v>15</v>
      </c>
      <c r="Q1" s="278">
        <v>16</v>
      </c>
      <c r="R1" s="248">
        <v>17</v>
      </c>
      <c r="S1" s="278">
        <v>18</v>
      </c>
      <c r="T1" s="248">
        <v>19</v>
      </c>
      <c r="U1" s="278">
        <v>20</v>
      </c>
      <c r="V1" s="248">
        <v>21</v>
      </c>
      <c r="W1" s="248">
        <v>22</v>
      </c>
      <c r="X1" s="278">
        <v>23</v>
      </c>
      <c r="Y1" s="248">
        <v>24</v>
      </c>
      <c r="Z1" s="278">
        <v>25</v>
      </c>
      <c r="AA1" s="248">
        <v>26</v>
      </c>
      <c r="AB1" s="306" t="s">
        <v>414</v>
      </c>
      <c r="AC1" s="248">
        <v>28</v>
      </c>
      <c r="AD1" s="278">
        <v>29</v>
      </c>
      <c r="AE1" s="248">
        <v>30</v>
      </c>
      <c r="AF1" s="278">
        <v>31</v>
      </c>
      <c r="AG1" s="248">
        <v>32</v>
      </c>
      <c r="AH1" s="248">
        <v>33</v>
      </c>
      <c r="AI1" s="248">
        <v>34</v>
      </c>
      <c r="AJ1" s="248">
        <v>35</v>
      </c>
      <c r="AK1" s="278">
        <v>36</v>
      </c>
      <c r="AL1" s="278">
        <v>37</v>
      </c>
      <c r="AM1" s="248">
        <v>37</v>
      </c>
    </row>
    <row r="2" spans="1:44" ht="31.5" thickBot="1" x14ac:dyDescent="0.35">
      <c r="C2" s="83"/>
      <c r="D2" s="122" t="s">
        <v>415</v>
      </c>
      <c r="E2" s="122"/>
      <c r="F2" s="122"/>
      <c r="G2" s="122"/>
      <c r="H2" s="122"/>
      <c r="I2" s="122"/>
      <c r="J2" s="123"/>
      <c r="K2" s="123"/>
      <c r="L2" s="205" t="s">
        <v>416</v>
      </c>
      <c r="M2" s="279"/>
      <c r="N2" s="123"/>
      <c r="O2" s="279"/>
      <c r="P2" s="123"/>
      <c r="Q2" s="279"/>
      <c r="R2" s="123"/>
      <c r="S2" s="279"/>
      <c r="T2" s="123"/>
      <c r="U2" s="279"/>
      <c r="V2" s="123"/>
      <c r="W2" s="123"/>
      <c r="X2" s="350" t="s">
        <v>417</v>
      </c>
      <c r="Y2" s="350" t="s">
        <v>417</v>
      </c>
      <c r="Z2" s="351" t="s">
        <v>417</v>
      </c>
      <c r="AA2" s="351" t="s">
        <v>417</v>
      </c>
      <c r="AB2" s="351" t="s">
        <v>417</v>
      </c>
      <c r="AC2" s="351" t="s">
        <v>417</v>
      </c>
      <c r="AD2" s="352" t="s">
        <v>418</v>
      </c>
      <c r="AE2" s="352" t="s">
        <v>418</v>
      </c>
      <c r="AF2" s="351" t="s">
        <v>417</v>
      </c>
      <c r="AG2" s="351" t="s">
        <v>417</v>
      </c>
      <c r="AH2" s="124"/>
      <c r="AI2" s="125"/>
      <c r="AJ2" s="206" t="s">
        <v>419</v>
      </c>
      <c r="AK2" s="311"/>
      <c r="AL2" s="311"/>
      <c r="AM2" s="57"/>
      <c r="AN2" s="83"/>
      <c r="AO2" s="65"/>
      <c r="AP2" s="83"/>
      <c r="AQ2" s="83"/>
      <c r="AR2" s="83"/>
    </row>
    <row r="3" spans="1:44" s="48" customFormat="1" ht="75" x14ac:dyDescent="0.25">
      <c r="A3" s="83"/>
      <c r="B3" s="246" t="s">
        <v>420</v>
      </c>
      <c r="C3" s="196" t="s">
        <v>52</v>
      </c>
      <c r="D3" s="127" t="s">
        <v>421</v>
      </c>
      <c r="E3" s="127" t="s">
        <v>422</v>
      </c>
      <c r="F3" s="265" t="s">
        <v>423</v>
      </c>
      <c r="G3" s="265" t="s">
        <v>424</v>
      </c>
      <c r="H3" s="252" t="s">
        <v>425</v>
      </c>
      <c r="I3" s="252" t="s">
        <v>426</v>
      </c>
      <c r="J3" s="128" t="s">
        <v>427</v>
      </c>
      <c r="K3" s="128" t="s">
        <v>428</v>
      </c>
      <c r="L3" s="128" t="s">
        <v>210</v>
      </c>
      <c r="M3" s="280" t="s">
        <v>429</v>
      </c>
      <c r="N3" s="128" t="s">
        <v>430</v>
      </c>
      <c r="O3" s="280" t="s">
        <v>431</v>
      </c>
      <c r="P3" s="128" t="s">
        <v>432</v>
      </c>
      <c r="Q3" s="280" t="s">
        <v>433</v>
      </c>
      <c r="R3" s="128" t="s">
        <v>434</v>
      </c>
      <c r="S3" s="280" t="s">
        <v>435</v>
      </c>
      <c r="T3" s="128" t="s">
        <v>436</v>
      </c>
      <c r="U3" s="280" t="s">
        <v>437</v>
      </c>
      <c r="V3" s="128" t="s">
        <v>438</v>
      </c>
      <c r="W3" s="182" t="s">
        <v>392</v>
      </c>
      <c r="X3" s="299" t="s">
        <v>439</v>
      </c>
      <c r="Y3" s="130" t="s">
        <v>440</v>
      </c>
      <c r="Z3" s="299" t="s">
        <v>441</v>
      </c>
      <c r="AA3" s="250" t="s">
        <v>442</v>
      </c>
      <c r="AB3" s="299" t="s">
        <v>443</v>
      </c>
      <c r="AC3" s="335" t="s">
        <v>444</v>
      </c>
      <c r="AD3" s="344" t="s">
        <v>445</v>
      </c>
      <c r="AE3" s="345" t="s">
        <v>446</v>
      </c>
      <c r="AF3" s="337" t="s">
        <v>447</v>
      </c>
      <c r="AG3" s="130" t="s">
        <v>448</v>
      </c>
      <c r="AH3" s="183" t="s">
        <v>395</v>
      </c>
      <c r="AI3" s="184" t="s">
        <v>399</v>
      </c>
      <c r="AJ3" s="129" t="s">
        <v>449</v>
      </c>
      <c r="AK3" s="312" t="s">
        <v>401</v>
      </c>
      <c r="AL3" s="312" t="s">
        <v>402</v>
      </c>
      <c r="AM3" s="131" t="s">
        <v>403</v>
      </c>
      <c r="AN3" s="54"/>
      <c r="AO3" s="54"/>
      <c r="AP3" s="54"/>
      <c r="AQ3" s="54"/>
      <c r="AR3" s="54"/>
    </row>
    <row r="4" spans="1:44" s="48" customFormat="1" ht="63" customHeight="1" thickBot="1" x14ac:dyDescent="0.3">
      <c r="A4" s="83"/>
      <c r="B4" s="249">
        <v>1.1000000000000001</v>
      </c>
      <c r="C4" s="193" t="s">
        <v>405</v>
      </c>
      <c r="D4" s="207" t="s">
        <v>209</v>
      </c>
      <c r="E4" s="214" t="s">
        <v>258</v>
      </c>
      <c r="F4" s="266"/>
      <c r="G4" s="267">
        <v>1</v>
      </c>
      <c r="H4" s="253"/>
      <c r="I4" s="254">
        <f>(Baasandmed!$L$3*Baasandmed!$M$3+Baasandmed!$L$10*Baasandmed!$M$10+Baasandmed!$L$14*Baasandmed!$M$14+Baasandmed!$L$17*Baasandmed!$M$17+Baasandmed!$L$19*Baasandmed!$M$19+Baasandmed!$L$20*Baasandmed!$M$20)*G4</f>
        <v>464749.49999999994</v>
      </c>
      <c r="J4" s="188" t="s">
        <v>450</v>
      </c>
      <c r="K4" s="132" t="s">
        <v>451</v>
      </c>
      <c r="L4" s="132" t="s">
        <v>452</v>
      </c>
      <c r="M4" s="281"/>
      <c r="N4" s="143"/>
      <c r="O4" s="290"/>
      <c r="P4" s="143"/>
      <c r="Q4" s="281"/>
      <c r="R4" s="143"/>
      <c r="S4" s="281"/>
      <c r="T4" s="143"/>
      <c r="U4" s="281"/>
      <c r="V4" s="143"/>
      <c r="W4" s="158"/>
      <c r="X4" s="300">
        <v>0</v>
      </c>
      <c r="Y4" s="213">
        <f>X4*Baasandmed!$D$10</f>
        <v>0</v>
      </c>
      <c r="Z4" s="300">
        <v>160</v>
      </c>
      <c r="AA4" s="251">
        <f>Z4*Baasandmed!$D$10</f>
        <v>10400</v>
      </c>
      <c r="AB4" s="307">
        <f>2300*1.2</f>
        <v>2760</v>
      </c>
      <c r="AC4" s="336">
        <f>AB4*Baasandmed!$D$7</f>
        <v>36045.599999999999</v>
      </c>
      <c r="AD4" s="346">
        <v>1500</v>
      </c>
      <c r="AE4" s="347">
        <f>AD4*Baasandmed!$D$10</f>
        <v>97500</v>
      </c>
      <c r="AF4" s="338">
        <v>150</v>
      </c>
      <c r="AG4" s="170">
        <f>AF4*Baasandmed!$D$10</f>
        <v>9750</v>
      </c>
      <c r="AH4" s="171">
        <f>Y4+AA4+AC4+(AE4/Baasandmed!$D$13)+AG4</f>
        <v>75695.600000000006</v>
      </c>
      <c r="AI4" s="180">
        <f>SUM(W4:W10)-AH4</f>
        <v>9263354.7701575998</v>
      </c>
      <c r="AJ4" s="167" t="s">
        <v>453</v>
      </c>
      <c r="AK4" s="313">
        <v>4</v>
      </c>
      <c r="AL4" s="319">
        <v>3</v>
      </c>
      <c r="AM4" s="227">
        <f t="shared" ref="AM4:AM35" si="0">AK4+AL4</f>
        <v>7</v>
      </c>
      <c r="AN4" s="54"/>
      <c r="AO4" s="54"/>
      <c r="AP4" s="54"/>
      <c r="AQ4" s="54"/>
      <c r="AR4" s="54"/>
    </row>
    <row r="5" spans="1:44" ht="69.75" hidden="1" customHeight="1" x14ac:dyDescent="0.25">
      <c r="B5" s="249">
        <v>1.2</v>
      </c>
      <c r="C5" s="194" t="s">
        <v>405</v>
      </c>
      <c r="D5" s="70" t="s">
        <v>454</v>
      </c>
      <c r="E5" s="110" t="s">
        <v>455</v>
      </c>
      <c r="F5" s="268">
        <v>0.95</v>
      </c>
      <c r="G5" s="268">
        <v>0.95</v>
      </c>
      <c r="H5" s="255">
        <f>Baasandmed!$K$3*F5</f>
        <v>4431.75</v>
      </c>
      <c r="I5" s="256">
        <f>I4*G5</f>
        <v>441512.02499999991</v>
      </c>
      <c r="J5" s="189" t="s">
        <v>450</v>
      </c>
      <c r="K5" s="115" t="s">
        <v>456</v>
      </c>
      <c r="L5" s="115" t="s">
        <v>457</v>
      </c>
      <c r="M5" s="282">
        <v>0.1</v>
      </c>
      <c r="N5" s="144">
        <f>((M5/Baasandmed!$N$3)*Baasandmed!$P$3)+((M5/Baasandmed!$N$11)*Baasandmed!$P$11)+((M5/Baasandmed!$N$12)*Baasandmed!$P$12)+((M5/Baasandmed!$N$17)*Baasandmed!$P$17)</f>
        <v>8249640.9192699986</v>
      </c>
      <c r="O5" s="291">
        <v>0</v>
      </c>
      <c r="P5" s="144"/>
      <c r="Q5" s="291">
        <v>0.1</v>
      </c>
      <c r="R5" s="144">
        <f>(Baasandmed!$G$66+Baasandmed!$G$67+Baasandmed!$G$71+Baasandmed!$G$72+Baasandmed!$G$76+Baasandmed!$G$77+Baasandmed!$G$81+Baasandmed!$G$82+Baasandmed!$G$86+Baasandmed!$G$87+Baasandmed!$G$91+Baasandmed!$G$92+Baasandmed!$G$96+Baasandmed!$G$97+Baasandmed!$G$101+Baasandmed!$G$102)*Majandusanalüüs!Q5</f>
        <v>983277.02426999994</v>
      </c>
      <c r="S5" s="283"/>
      <c r="T5" s="144"/>
      <c r="U5" s="296">
        <v>0.16</v>
      </c>
      <c r="V5" s="145">
        <f>(U5*(I5/10))*Baasandmed!$D$4</f>
        <v>69229.085519999993</v>
      </c>
      <c r="W5" s="157">
        <f>N5+P5+R5+T5+V5</f>
        <v>9302147.0290599987</v>
      </c>
      <c r="X5" s="301"/>
      <c r="Y5" s="172"/>
      <c r="Z5" s="301"/>
      <c r="AA5" s="172"/>
      <c r="AB5" s="301"/>
      <c r="AC5" s="173"/>
      <c r="AD5" s="340"/>
      <c r="AE5" s="341"/>
      <c r="AF5" s="309"/>
      <c r="AG5" s="69"/>
      <c r="AH5" s="69">
        <f>Y5+AA5+AC5+(AE5/Baasandmed!$D$13)+AG5</f>
        <v>0</v>
      </c>
      <c r="AI5" s="111"/>
      <c r="AJ5" s="71" t="s">
        <v>458</v>
      </c>
      <c r="AK5" s="314">
        <v>3</v>
      </c>
      <c r="AL5" s="315">
        <v>3</v>
      </c>
      <c r="AM5" s="227">
        <f t="shared" si="0"/>
        <v>6</v>
      </c>
      <c r="AN5" s="83"/>
      <c r="AO5" s="83"/>
      <c r="AP5" s="83"/>
      <c r="AQ5" s="83"/>
      <c r="AR5" s="83"/>
    </row>
    <row r="6" spans="1:44" ht="48.75" hidden="1" customHeight="1" x14ac:dyDescent="0.25">
      <c r="B6" s="249">
        <v>1.3</v>
      </c>
      <c r="C6" s="194" t="s">
        <v>405</v>
      </c>
      <c r="D6" s="70" t="s">
        <v>459</v>
      </c>
      <c r="E6" s="110" t="s">
        <v>460</v>
      </c>
      <c r="F6" s="268">
        <v>0.2</v>
      </c>
      <c r="G6" s="268">
        <v>0.4</v>
      </c>
      <c r="H6" s="255">
        <f>H5*F6</f>
        <v>886.35</v>
      </c>
      <c r="I6" s="256">
        <f>I5*G6</f>
        <v>176604.80999999997</v>
      </c>
      <c r="J6" s="189" t="s">
        <v>450</v>
      </c>
      <c r="K6" s="115" t="s">
        <v>461</v>
      </c>
      <c r="L6" s="115"/>
      <c r="M6" s="283"/>
      <c r="N6" s="145"/>
      <c r="O6" s="292"/>
      <c r="P6" s="145"/>
      <c r="Q6" s="284"/>
      <c r="R6" s="145"/>
      <c r="S6" s="284"/>
      <c r="T6" s="145"/>
      <c r="U6" s="296">
        <v>0.16</v>
      </c>
      <c r="V6" s="145">
        <f>(U6*(I6/10))*Baasandmed!$D$7</f>
        <v>36903.341097599994</v>
      </c>
      <c r="W6" s="157">
        <f t="shared" ref="W6:W9" si="1">N6+P6+R6+T6+V6</f>
        <v>36903.341097599994</v>
      </c>
      <c r="X6" s="301"/>
      <c r="Y6" s="172"/>
      <c r="Z6" s="301"/>
      <c r="AA6" s="172"/>
      <c r="AB6" s="301"/>
      <c r="AC6" s="173"/>
      <c r="AD6" s="309"/>
      <c r="AE6" s="69"/>
      <c r="AF6" s="309"/>
      <c r="AG6" s="69"/>
      <c r="AH6" s="69">
        <f>Y6+AA6+AC6+(AE6/Baasandmed!$D$13)+AG6</f>
        <v>0</v>
      </c>
      <c r="AI6" s="112"/>
      <c r="AJ6" s="68" t="s">
        <v>462</v>
      </c>
      <c r="AK6" s="315">
        <v>3</v>
      </c>
      <c r="AL6" s="315">
        <v>3</v>
      </c>
      <c r="AM6" s="227">
        <f t="shared" si="0"/>
        <v>6</v>
      </c>
      <c r="AN6" s="83"/>
      <c r="AO6" s="83"/>
      <c r="AP6" s="83"/>
      <c r="AQ6" s="83"/>
      <c r="AR6" s="83"/>
    </row>
    <row r="7" spans="1:44" ht="51.75" hidden="1" customHeight="1" x14ac:dyDescent="0.25">
      <c r="B7" s="249">
        <v>1.4</v>
      </c>
      <c r="C7" s="194" t="s">
        <v>405</v>
      </c>
      <c r="D7" s="70" t="s">
        <v>463</v>
      </c>
      <c r="E7" s="110" t="s">
        <v>464</v>
      </c>
      <c r="F7" s="268">
        <v>1</v>
      </c>
      <c r="G7" s="268">
        <v>1</v>
      </c>
      <c r="H7" s="257">
        <f>H5*F7</f>
        <v>4431.75</v>
      </c>
      <c r="I7" s="256">
        <f>I5*G7</f>
        <v>441512.02499999991</v>
      </c>
      <c r="J7" s="189" t="s">
        <v>450</v>
      </c>
      <c r="K7" s="115" t="s">
        <v>465</v>
      </c>
      <c r="L7" s="115"/>
      <c r="M7" s="283"/>
      <c r="N7" s="145"/>
      <c r="O7" s="292"/>
      <c r="P7" s="145"/>
      <c r="Q7" s="284"/>
      <c r="R7" s="145"/>
      <c r="S7" s="284"/>
      <c r="T7" s="145"/>
      <c r="U7" s="284"/>
      <c r="V7" s="145"/>
      <c r="W7" s="157"/>
      <c r="X7" s="301"/>
      <c r="Y7" s="172"/>
      <c r="Z7" s="301"/>
      <c r="AA7" s="172"/>
      <c r="AB7" s="301"/>
      <c r="AC7" s="173"/>
      <c r="AD7" s="309"/>
      <c r="AE7" s="69"/>
      <c r="AF7" s="309"/>
      <c r="AG7" s="69"/>
      <c r="AH7" s="69">
        <f>Y7+AA7+AC7+(AE7/Baasandmed!$D$13)+AG7</f>
        <v>0</v>
      </c>
      <c r="AI7" s="112"/>
      <c r="AJ7" s="71" t="s">
        <v>466</v>
      </c>
      <c r="AK7" s="315">
        <v>2</v>
      </c>
      <c r="AL7" s="315">
        <v>3</v>
      </c>
      <c r="AM7" s="227">
        <f t="shared" si="0"/>
        <v>5</v>
      </c>
      <c r="AN7" s="83"/>
      <c r="AO7" s="83"/>
      <c r="AP7" s="83"/>
      <c r="AQ7" s="83"/>
      <c r="AR7" s="83"/>
    </row>
    <row r="8" spans="1:44" ht="63.75" hidden="1" x14ac:dyDescent="0.25">
      <c r="B8" s="249">
        <v>1.5</v>
      </c>
      <c r="C8" s="194" t="s">
        <v>405</v>
      </c>
      <c r="D8" s="70" t="s">
        <v>467</v>
      </c>
      <c r="E8" s="110" t="s">
        <v>468</v>
      </c>
      <c r="F8" s="269"/>
      <c r="G8" s="269"/>
      <c r="H8" s="257"/>
      <c r="I8" s="256"/>
      <c r="J8" s="189" t="s">
        <v>469</v>
      </c>
      <c r="K8" s="115" t="s">
        <v>470</v>
      </c>
      <c r="L8" s="115"/>
      <c r="M8" s="284"/>
      <c r="N8" s="145"/>
      <c r="O8" s="292"/>
      <c r="P8" s="145"/>
      <c r="Q8" s="284"/>
      <c r="R8" s="145"/>
      <c r="S8" s="284"/>
      <c r="T8" s="145"/>
      <c r="U8" s="284"/>
      <c r="V8" s="145"/>
      <c r="W8" s="157"/>
      <c r="X8" s="301"/>
      <c r="Y8" s="172"/>
      <c r="Z8" s="301"/>
      <c r="AA8" s="172"/>
      <c r="AB8" s="301"/>
      <c r="AC8" s="173"/>
      <c r="AD8" s="309"/>
      <c r="AE8" s="69"/>
      <c r="AF8" s="309"/>
      <c r="AG8" s="69"/>
      <c r="AH8" s="69">
        <f>Y8+AA8+AC8+(AE8/Baasandmed!$D$13)+AG8</f>
        <v>0</v>
      </c>
      <c r="AI8" s="112"/>
      <c r="AJ8" s="68" t="s">
        <v>471</v>
      </c>
      <c r="AK8" s="315">
        <v>1</v>
      </c>
      <c r="AL8" s="315">
        <v>3</v>
      </c>
      <c r="AM8" s="227">
        <f t="shared" si="0"/>
        <v>4</v>
      </c>
      <c r="AN8" s="83"/>
      <c r="AO8" s="83"/>
      <c r="AP8" s="83"/>
      <c r="AQ8" s="83"/>
      <c r="AR8" s="83"/>
    </row>
    <row r="9" spans="1:44" ht="45.75" hidden="1" x14ac:dyDescent="0.25">
      <c r="B9" s="249">
        <v>1.6</v>
      </c>
      <c r="C9" s="194" t="s">
        <v>405</v>
      </c>
      <c r="D9" s="70" t="s">
        <v>472</v>
      </c>
      <c r="E9" s="110" t="s">
        <v>473</v>
      </c>
      <c r="F9" s="268">
        <v>1</v>
      </c>
      <c r="G9" s="268">
        <v>1</v>
      </c>
      <c r="H9" s="257">
        <f>H5*F9</f>
        <v>4431.75</v>
      </c>
      <c r="I9" s="256">
        <f>I5*G9</f>
        <v>441512.02499999991</v>
      </c>
      <c r="J9" s="189" t="s">
        <v>469</v>
      </c>
      <c r="K9" s="115" t="s">
        <v>474</v>
      </c>
      <c r="L9" s="115"/>
      <c r="M9" s="283"/>
      <c r="N9" s="145"/>
      <c r="O9" s="292"/>
      <c r="P9" s="145"/>
      <c r="Q9" s="284"/>
      <c r="R9" s="145"/>
      <c r="S9" s="295">
        <v>0</v>
      </c>
      <c r="T9" s="145">
        <f>S9*I9</f>
        <v>0</v>
      </c>
      <c r="U9" s="284"/>
      <c r="V9" s="145"/>
      <c r="W9" s="157">
        <f t="shared" si="1"/>
        <v>0</v>
      </c>
      <c r="X9" s="301"/>
      <c r="Y9" s="172"/>
      <c r="Z9" s="301"/>
      <c r="AA9" s="172"/>
      <c r="AB9" s="301"/>
      <c r="AC9" s="173"/>
      <c r="AD9" s="309"/>
      <c r="AE9" s="69"/>
      <c r="AF9" s="309"/>
      <c r="AG9" s="69"/>
      <c r="AH9" s="69">
        <f>Y9+AA9+AC9+(AE9/Baasandmed!$D$13)+AG9</f>
        <v>0</v>
      </c>
      <c r="AI9" s="112"/>
      <c r="AJ9" s="68" t="s">
        <v>475</v>
      </c>
      <c r="AK9" s="315">
        <v>3</v>
      </c>
      <c r="AL9" s="315">
        <v>3</v>
      </c>
      <c r="AM9" s="227">
        <f t="shared" si="0"/>
        <v>6</v>
      </c>
      <c r="AN9" s="83"/>
      <c r="AO9" s="83"/>
      <c r="AP9" s="83"/>
      <c r="AQ9" s="83"/>
      <c r="AR9" s="83"/>
    </row>
    <row r="10" spans="1:44" ht="45.75" hidden="1" x14ac:dyDescent="0.25">
      <c r="B10" s="249">
        <v>1.7</v>
      </c>
      <c r="C10" s="195" t="s">
        <v>405</v>
      </c>
      <c r="D10" s="133" t="s">
        <v>476</v>
      </c>
      <c r="E10" s="134" t="s">
        <v>477</v>
      </c>
      <c r="F10" s="270"/>
      <c r="G10" s="270"/>
      <c r="H10" s="258"/>
      <c r="I10" s="259"/>
      <c r="J10" s="190" t="s">
        <v>469</v>
      </c>
      <c r="K10" s="135" t="s">
        <v>470</v>
      </c>
      <c r="L10" s="135"/>
      <c r="M10" s="285"/>
      <c r="N10" s="146"/>
      <c r="O10" s="293"/>
      <c r="P10" s="146"/>
      <c r="Q10" s="285"/>
      <c r="R10" s="146"/>
      <c r="S10" s="285"/>
      <c r="T10" s="146"/>
      <c r="U10" s="297"/>
      <c r="V10" s="147"/>
      <c r="W10" s="157"/>
      <c r="X10" s="302"/>
      <c r="Y10" s="174"/>
      <c r="Z10" s="302"/>
      <c r="AA10" s="174"/>
      <c r="AB10" s="302"/>
      <c r="AC10" s="175"/>
      <c r="AD10" s="310"/>
      <c r="AE10" s="137"/>
      <c r="AF10" s="310"/>
      <c r="AG10" s="137"/>
      <c r="AH10" s="69">
        <f>Y10+AA10+AC10+(AE10/Baasandmed!$D$13)+AG10</f>
        <v>0</v>
      </c>
      <c r="AI10" s="138"/>
      <c r="AJ10" s="136" t="s">
        <v>478</v>
      </c>
      <c r="AK10" s="316">
        <v>1</v>
      </c>
      <c r="AL10" s="320">
        <v>3</v>
      </c>
      <c r="AM10" s="228">
        <f t="shared" si="0"/>
        <v>4</v>
      </c>
      <c r="AN10" s="83"/>
      <c r="AO10" s="83"/>
      <c r="AP10" s="83"/>
      <c r="AQ10" s="83"/>
      <c r="AR10" s="83"/>
    </row>
    <row r="11" spans="1:44" ht="74.25" customHeight="1" thickBot="1" x14ac:dyDescent="0.3">
      <c r="B11" s="246">
        <v>2.1</v>
      </c>
      <c r="C11" s="139" t="s">
        <v>38</v>
      </c>
      <c r="D11" s="207" t="s">
        <v>209</v>
      </c>
      <c r="E11" s="140" t="s">
        <v>241</v>
      </c>
      <c r="F11" s="271"/>
      <c r="G11" s="272">
        <v>1</v>
      </c>
      <c r="H11" s="253"/>
      <c r="I11" s="254">
        <f>(Baasandmed!$L$3*Baasandmed!$M$3+Baasandmed!$L$10*Baasandmed!$M$10+Baasandmed!$L$14*Baasandmed!$M$14+Baasandmed!$L$17*Baasandmed!$M$17+Baasandmed!$L$19*Baasandmed!$M$19+Baasandmed!$L$20*Baasandmed!$M$20)*G11</f>
        <v>464749.49999999994</v>
      </c>
      <c r="J11" s="188" t="s">
        <v>450</v>
      </c>
      <c r="K11" s="187" t="s">
        <v>479</v>
      </c>
      <c r="L11" s="187" t="s">
        <v>480</v>
      </c>
      <c r="M11" s="281"/>
      <c r="N11" s="143"/>
      <c r="O11" s="290"/>
      <c r="P11" s="143"/>
      <c r="Q11" s="281"/>
      <c r="R11" s="143"/>
      <c r="S11" s="281"/>
      <c r="T11" s="143"/>
      <c r="U11" s="281"/>
      <c r="V11" s="143"/>
      <c r="W11" s="158"/>
      <c r="X11" s="300">
        <v>0</v>
      </c>
      <c r="Y11" s="213">
        <f>X11*Baasandmed!$D$10</f>
        <v>0</v>
      </c>
      <c r="Z11" s="300">
        <v>160</v>
      </c>
      <c r="AA11" s="251">
        <f>Z11*Baasandmed!$D$10</f>
        <v>10400</v>
      </c>
      <c r="AB11" s="307">
        <v>800</v>
      </c>
      <c r="AC11" s="336">
        <f>AB11*Baasandmed!$D$7</f>
        <v>10448</v>
      </c>
      <c r="AD11" s="348">
        <v>1000</v>
      </c>
      <c r="AE11" s="349">
        <f>AD11*Baasandmed!$D$10</f>
        <v>65000</v>
      </c>
      <c r="AF11" s="338">
        <v>150</v>
      </c>
      <c r="AG11" s="170">
        <f>AF11*Baasandmed!$D$10</f>
        <v>9750</v>
      </c>
      <c r="AH11" s="171">
        <f>Y11+AA11+AC11+(AE11/Baasandmed!$D$13)+AG11</f>
        <v>43598</v>
      </c>
      <c r="AI11" s="180">
        <f>SUM(W11:W17)-AH11</f>
        <v>23017382.432740495</v>
      </c>
      <c r="AJ11" s="167" t="s">
        <v>481</v>
      </c>
      <c r="AK11" s="313">
        <v>3</v>
      </c>
      <c r="AL11" s="319">
        <v>3</v>
      </c>
      <c r="AM11" s="227">
        <f t="shared" si="0"/>
        <v>6</v>
      </c>
      <c r="AN11" s="83"/>
      <c r="AO11" s="83"/>
      <c r="AP11" s="83"/>
      <c r="AQ11" s="83"/>
      <c r="AR11" s="83"/>
    </row>
    <row r="12" spans="1:44" ht="84.75" hidden="1" x14ac:dyDescent="0.25">
      <c r="B12" s="246">
        <v>2.2000000000000002</v>
      </c>
      <c r="C12" s="51" t="s">
        <v>38</v>
      </c>
      <c r="D12" s="70" t="s">
        <v>454</v>
      </c>
      <c r="E12" s="110" t="s">
        <v>455</v>
      </c>
      <c r="F12" s="268">
        <v>0.95</v>
      </c>
      <c r="G12" s="268">
        <v>0.95</v>
      </c>
      <c r="H12" s="255">
        <f>Baasandmed!$K$3*F12</f>
        <v>4431.75</v>
      </c>
      <c r="I12" s="256">
        <f>I11*G12</f>
        <v>441512.02499999991</v>
      </c>
      <c r="J12" s="189" t="s">
        <v>450</v>
      </c>
      <c r="K12" s="186" t="s">
        <v>482</v>
      </c>
      <c r="L12" s="186" t="s">
        <v>483</v>
      </c>
      <c r="M12" s="286">
        <v>0.15</v>
      </c>
      <c r="N12" s="144">
        <f>((M12/Baasandmed!$N$3)*Baasandmed!$P$3)+((M12/Baasandmed!$N$11)*Baasandmed!$P$11)+((M12/Baasandmed!$N$12)*Baasandmed!$P$12)+((M12/Baasandmed!$N$17)*Baasandmed!$P$17)</f>
        <v>12374461.378904996</v>
      </c>
      <c r="O12" s="291">
        <v>0.05</v>
      </c>
      <c r="P12" s="144">
        <f>(SUM(Baasandmed!$G$30:$G$63))*O12</f>
        <v>3575208.4905274995</v>
      </c>
      <c r="Q12" s="291">
        <v>0</v>
      </c>
      <c r="R12" s="144">
        <f>(Baasandmed!$G$66+Baasandmed!$G$67+Baasandmed!$G$71+Baasandmed!$G$72+Baasandmed!$G$76+Baasandmed!$G$77+Baasandmed!$G$81+Baasandmed!$G$82+Baasandmed!$G$86+Baasandmed!$G$87+Baasandmed!$G$91+Baasandmed!$G$92+Baasandmed!$G$96+Baasandmed!$G$97+Baasandmed!$G$101+Baasandmed!$G$102)*Majandusanalüüs!Q12</f>
        <v>0</v>
      </c>
      <c r="S12" s="283"/>
      <c r="T12" s="144"/>
      <c r="U12" s="296">
        <v>0</v>
      </c>
      <c r="V12" s="145">
        <f>(U12*(I12/10))*Baasandmed!$D$4</f>
        <v>0</v>
      </c>
      <c r="W12" s="157">
        <f>N12+P12+R12+T12+V12</f>
        <v>15949669.869432496</v>
      </c>
      <c r="X12" s="303"/>
      <c r="Y12" s="176"/>
      <c r="Z12" s="303"/>
      <c r="AA12" s="176"/>
      <c r="AB12" s="303"/>
      <c r="AC12" s="177"/>
      <c r="AD12" s="342"/>
      <c r="AE12" s="343"/>
      <c r="AF12" s="303"/>
      <c r="AG12" s="177"/>
      <c r="AH12" s="69">
        <f>Y12+AA12+AC12+(AE12/Baasandmed!$D$13)+AG12</f>
        <v>0</v>
      </c>
      <c r="AI12" s="113"/>
      <c r="AJ12" s="71" t="s">
        <v>484</v>
      </c>
      <c r="AK12" s="314">
        <v>4</v>
      </c>
      <c r="AL12" s="315">
        <v>3</v>
      </c>
      <c r="AM12" s="227">
        <f t="shared" si="0"/>
        <v>7</v>
      </c>
      <c r="AN12" s="83"/>
      <c r="AO12" s="83"/>
      <c r="AP12" s="83"/>
      <c r="AQ12" s="83"/>
      <c r="AR12" s="83"/>
    </row>
    <row r="13" spans="1:44" ht="36" hidden="1" x14ac:dyDescent="0.25">
      <c r="B13" s="246">
        <v>2.2999999999999998</v>
      </c>
      <c r="C13" s="51" t="s">
        <v>38</v>
      </c>
      <c r="D13" s="70" t="s">
        <v>459</v>
      </c>
      <c r="E13" s="110" t="s">
        <v>460</v>
      </c>
      <c r="F13" s="268">
        <v>0.2</v>
      </c>
      <c r="G13" s="268">
        <v>0.4</v>
      </c>
      <c r="H13" s="255">
        <f>H12*F13</f>
        <v>886.35</v>
      </c>
      <c r="I13" s="256">
        <f>I12*G13</f>
        <v>176604.80999999997</v>
      </c>
      <c r="J13" s="189" t="s">
        <v>450</v>
      </c>
      <c r="K13" s="115" t="s">
        <v>485</v>
      </c>
      <c r="L13" s="185"/>
      <c r="M13" s="283"/>
      <c r="N13" s="145"/>
      <c r="O13" s="292"/>
      <c r="P13" s="145"/>
      <c r="Q13" s="284"/>
      <c r="R13" s="145"/>
      <c r="S13" s="284"/>
      <c r="T13" s="145"/>
      <c r="U13" s="296">
        <v>0</v>
      </c>
      <c r="V13" s="145">
        <f>(U13*(I13/10))*Baasandmed!$D$7</f>
        <v>0</v>
      </c>
      <c r="W13" s="157">
        <f t="shared" ref="W13:W16" si="2">N13+P13+R13+T13+V13</f>
        <v>0</v>
      </c>
      <c r="X13" s="303"/>
      <c r="Y13" s="176"/>
      <c r="Z13" s="303"/>
      <c r="AA13" s="176"/>
      <c r="AB13" s="303"/>
      <c r="AC13" s="177"/>
      <c r="AD13" s="303"/>
      <c r="AE13" s="177"/>
      <c r="AF13" s="303"/>
      <c r="AG13" s="177"/>
      <c r="AH13" s="69">
        <f>Y13+AA13+AC13+(AE13/Baasandmed!$D$13)+AG13</f>
        <v>0</v>
      </c>
      <c r="AI13" s="113"/>
      <c r="AJ13" s="68" t="s">
        <v>462</v>
      </c>
      <c r="AK13" s="315">
        <v>3</v>
      </c>
      <c r="AL13" s="315">
        <v>3</v>
      </c>
      <c r="AM13" s="227">
        <f t="shared" si="0"/>
        <v>6</v>
      </c>
      <c r="AN13" s="83"/>
      <c r="AO13" s="83"/>
      <c r="AP13" s="83"/>
      <c r="AQ13" s="83"/>
      <c r="AR13" s="83"/>
    </row>
    <row r="14" spans="1:44" ht="60" hidden="1" x14ac:dyDescent="0.25">
      <c r="B14" s="246">
        <v>2.4</v>
      </c>
      <c r="C14" s="51" t="s">
        <v>38</v>
      </c>
      <c r="D14" s="70" t="s">
        <v>463</v>
      </c>
      <c r="E14" s="110" t="s">
        <v>486</v>
      </c>
      <c r="F14" s="268">
        <v>1</v>
      </c>
      <c r="G14" s="268">
        <v>1</v>
      </c>
      <c r="H14" s="257">
        <f>H12*F14</f>
        <v>4431.75</v>
      </c>
      <c r="I14" s="256">
        <f>I12*G14</f>
        <v>441512.02499999991</v>
      </c>
      <c r="J14" s="189" t="s">
        <v>450</v>
      </c>
      <c r="K14" s="115" t="s">
        <v>487</v>
      </c>
      <c r="L14" s="186" t="s">
        <v>488</v>
      </c>
      <c r="M14" s="283"/>
      <c r="N14" s="145"/>
      <c r="O14" s="292"/>
      <c r="P14" s="145"/>
      <c r="Q14" s="284"/>
      <c r="R14" s="145"/>
      <c r="S14" s="284"/>
      <c r="T14" s="145"/>
      <c r="U14" s="296">
        <v>0.12</v>
      </c>
      <c r="V14" s="145">
        <f>(U14*(I14/10))*Baasandmed!$D$7</f>
        <v>69193.764557999995</v>
      </c>
      <c r="W14" s="157">
        <f t="shared" si="2"/>
        <v>69193.764557999995</v>
      </c>
      <c r="X14" s="303"/>
      <c r="Y14" s="176"/>
      <c r="Z14" s="303"/>
      <c r="AA14" s="176"/>
      <c r="AB14" s="303"/>
      <c r="AC14" s="177"/>
      <c r="AD14" s="303"/>
      <c r="AE14" s="177"/>
      <c r="AF14" s="303"/>
      <c r="AG14" s="177"/>
      <c r="AH14" s="69">
        <f>Y14+AA14+AC14+(AE14/Baasandmed!$D$13)+AG14</f>
        <v>0</v>
      </c>
      <c r="AI14" s="113"/>
      <c r="AJ14" s="71" t="s">
        <v>466</v>
      </c>
      <c r="AK14" s="315">
        <v>3</v>
      </c>
      <c r="AL14" s="315">
        <v>3</v>
      </c>
      <c r="AM14" s="227">
        <f t="shared" si="0"/>
        <v>6</v>
      </c>
      <c r="AN14" s="83"/>
      <c r="AO14" s="83"/>
      <c r="AP14" s="83"/>
      <c r="AQ14" s="83"/>
      <c r="AR14" s="83"/>
    </row>
    <row r="15" spans="1:44" ht="36" hidden="1" x14ac:dyDescent="0.25">
      <c r="B15" s="246">
        <v>2.5</v>
      </c>
      <c r="C15" s="51" t="s">
        <v>38</v>
      </c>
      <c r="D15" s="70" t="s">
        <v>467</v>
      </c>
      <c r="E15" s="110"/>
      <c r="F15" s="269"/>
      <c r="G15" s="269"/>
      <c r="H15" s="257"/>
      <c r="I15" s="256"/>
      <c r="J15" s="189" t="s">
        <v>469</v>
      </c>
      <c r="K15" s="115" t="s">
        <v>470</v>
      </c>
      <c r="L15" s="185"/>
      <c r="M15" s="284"/>
      <c r="N15" s="145"/>
      <c r="O15" s="292"/>
      <c r="P15" s="145"/>
      <c r="Q15" s="284"/>
      <c r="R15" s="145"/>
      <c r="S15" s="284"/>
      <c r="T15" s="145"/>
      <c r="U15" s="284"/>
      <c r="V15" s="145"/>
      <c r="W15" s="157"/>
      <c r="X15" s="303"/>
      <c r="Y15" s="176"/>
      <c r="Z15" s="303"/>
      <c r="AA15" s="176"/>
      <c r="AB15" s="303"/>
      <c r="AC15" s="177"/>
      <c r="AD15" s="303"/>
      <c r="AE15" s="177"/>
      <c r="AF15" s="303"/>
      <c r="AG15" s="177"/>
      <c r="AH15" s="69">
        <f>Y15+AA15+AC15+(AE15/Baasandmed!$D$13)+AG15</f>
        <v>0</v>
      </c>
      <c r="AI15" s="113"/>
      <c r="AJ15" s="68" t="s">
        <v>470</v>
      </c>
      <c r="AK15" s="315">
        <v>0</v>
      </c>
      <c r="AL15" s="315">
        <v>3</v>
      </c>
      <c r="AM15" s="227">
        <f t="shared" si="0"/>
        <v>3</v>
      </c>
      <c r="AN15" s="83"/>
      <c r="AO15" s="83"/>
      <c r="AP15" s="83"/>
      <c r="AQ15" s="83"/>
      <c r="AR15" s="83"/>
    </row>
    <row r="16" spans="1:44" ht="57" hidden="1" x14ac:dyDescent="0.25">
      <c r="B16" s="246">
        <v>2.6</v>
      </c>
      <c r="C16" s="51" t="s">
        <v>38</v>
      </c>
      <c r="D16" s="70" t="s">
        <v>472</v>
      </c>
      <c r="E16" s="110" t="s">
        <v>489</v>
      </c>
      <c r="F16" s="268">
        <v>1</v>
      </c>
      <c r="G16" s="268">
        <v>1</v>
      </c>
      <c r="H16" s="257">
        <f>H12*F16</f>
        <v>4431.75</v>
      </c>
      <c r="I16" s="256">
        <f>I12*G16</f>
        <v>441512.02499999991</v>
      </c>
      <c r="J16" s="189" t="s">
        <v>469</v>
      </c>
      <c r="K16" s="115" t="s">
        <v>474</v>
      </c>
      <c r="L16" s="186" t="s">
        <v>490</v>
      </c>
      <c r="M16" s="283"/>
      <c r="N16" s="145"/>
      <c r="O16" s="292"/>
      <c r="P16" s="145"/>
      <c r="Q16" s="284"/>
      <c r="R16" s="145"/>
      <c r="S16" s="292">
        <v>0.1</v>
      </c>
      <c r="T16" s="145">
        <f>(I16*5.5*29)*S16</f>
        <v>7042116.7987499982</v>
      </c>
      <c r="U16" s="284"/>
      <c r="V16" s="145"/>
      <c r="W16" s="157">
        <f t="shared" si="2"/>
        <v>7042116.7987499982</v>
      </c>
      <c r="X16" s="303"/>
      <c r="Y16" s="176"/>
      <c r="Z16" s="303"/>
      <c r="AA16" s="176"/>
      <c r="AB16" s="303"/>
      <c r="AC16" s="177"/>
      <c r="AD16" s="303"/>
      <c r="AE16" s="177"/>
      <c r="AF16" s="303"/>
      <c r="AG16" s="177"/>
      <c r="AH16" s="69">
        <f>Y16+AA16+AC16+(AE16/Baasandmed!$D$13)+AG16</f>
        <v>0</v>
      </c>
      <c r="AI16" s="113"/>
      <c r="AJ16" s="68" t="s">
        <v>491</v>
      </c>
      <c r="AK16" s="315">
        <v>3</v>
      </c>
      <c r="AL16" s="315">
        <v>3</v>
      </c>
      <c r="AM16" s="227">
        <f t="shared" si="0"/>
        <v>6</v>
      </c>
      <c r="AN16" s="83"/>
      <c r="AO16" s="83"/>
      <c r="AP16" s="83"/>
      <c r="AQ16" s="83"/>
      <c r="AR16" s="83"/>
    </row>
    <row r="17" spans="2:39" ht="48.75" hidden="1" x14ac:dyDescent="0.25">
      <c r="B17" s="246">
        <v>2.7</v>
      </c>
      <c r="C17" s="141" t="s">
        <v>38</v>
      </c>
      <c r="D17" s="133" t="s">
        <v>476</v>
      </c>
      <c r="E17" s="191" t="s">
        <v>492</v>
      </c>
      <c r="F17" s="270"/>
      <c r="G17" s="270"/>
      <c r="H17" s="258"/>
      <c r="I17" s="259"/>
      <c r="J17" s="190" t="s">
        <v>469</v>
      </c>
      <c r="K17" s="135" t="s">
        <v>493</v>
      </c>
      <c r="L17" s="186" t="s">
        <v>494</v>
      </c>
      <c r="M17" s="285"/>
      <c r="N17" s="146"/>
      <c r="O17" s="293"/>
      <c r="P17" s="146"/>
      <c r="Q17" s="285"/>
      <c r="R17" s="146"/>
      <c r="S17" s="285"/>
      <c r="T17" s="146"/>
      <c r="U17" s="297"/>
      <c r="V17" s="147"/>
      <c r="W17" s="157"/>
      <c r="X17" s="304"/>
      <c r="Y17" s="178"/>
      <c r="Z17" s="304"/>
      <c r="AA17" s="178"/>
      <c r="AB17" s="304"/>
      <c r="AC17" s="179"/>
      <c r="AD17" s="304"/>
      <c r="AE17" s="179"/>
      <c r="AF17" s="304"/>
      <c r="AG17" s="179"/>
      <c r="AH17" s="69">
        <f>Y17+AA17+AC17+(AE17/Baasandmed!$D$13)+AG17</f>
        <v>0</v>
      </c>
      <c r="AI17" s="142"/>
      <c r="AJ17" s="136" t="s">
        <v>495</v>
      </c>
      <c r="AK17" s="316">
        <v>2</v>
      </c>
      <c r="AL17" s="320">
        <v>3</v>
      </c>
      <c r="AM17" s="228">
        <f t="shared" si="0"/>
        <v>5</v>
      </c>
    </row>
    <row r="18" spans="2:39" ht="81" customHeight="1" thickBot="1" x14ac:dyDescent="0.3">
      <c r="B18" s="246">
        <v>3.1</v>
      </c>
      <c r="C18" s="197" t="s">
        <v>406</v>
      </c>
      <c r="D18" s="207" t="s">
        <v>209</v>
      </c>
      <c r="E18" s="140" t="s">
        <v>241</v>
      </c>
      <c r="F18" s="271"/>
      <c r="G18" s="272">
        <v>1</v>
      </c>
      <c r="H18" s="253"/>
      <c r="I18" s="254">
        <f>(Baasandmed!$L$3*Baasandmed!$M$3+Baasandmed!$L$10*Baasandmed!$M$10+Baasandmed!$L$14*Baasandmed!$M$14+Baasandmed!$L$17*Baasandmed!$M$17+Baasandmed!$L$19*Baasandmed!$M$19+Baasandmed!$L$20*Baasandmed!$M$20)*G18</f>
        <v>464749.49999999994</v>
      </c>
      <c r="J18" s="188" t="s">
        <v>450</v>
      </c>
      <c r="K18" s="187" t="s">
        <v>479</v>
      </c>
      <c r="L18" s="187" t="s">
        <v>496</v>
      </c>
      <c r="M18" s="281"/>
      <c r="N18" s="143"/>
      <c r="O18" s="290"/>
      <c r="P18" s="143"/>
      <c r="Q18" s="281"/>
      <c r="R18" s="143"/>
      <c r="S18" s="281"/>
      <c r="T18" s="143"/>
      <c r="U18" s="281"/>
      <c r="V18" s="143"/>
      <c r="W18" s="158"/>
      <c r="X18" s="300">
        <v>0</v>
      </c>
      <c r="Y18" s="213">
        <f>X18*Baasandmed!$D$10</f>
        <v>0</v>
      </c>
      <c r="Z18" s="300">
        <v>160</v>
      </c>
      <c r="AA18" s="251">
        <f>Z18*Baasandmed!$D$10</f>
        <v>10400</v>
      </c>
      <c r="AB18" s="307">
        <v>800</v>
      </c>
      <c r="AC18" s="336">
        <f>AB18*Baasandmed!$D$7</f>
        <v>10448</v>
      </c>
      <c r="AD18" s="348">
        <v>1000</v>
      </c>
      <c r="AE18" s="349">
        <f>AD18*Baasandmed!$D$10</f>
        <v>65000</v>
      </c>
      <c r="AF18" s="338">
        <v>150</v>
      </c>
      <c r="AG18" s="170">
        <f>AF18*Baasandmed!$D$10</f>
        <v>9750</v>
      </c>
      <c r="AH18" s="171">
        <f>Y18+AA18+AC18+(AE18/Baasandmed!$D$13)+AG18</f>
        <v>43598</v>
      </c>
      <c r="AI18" s="180">
        <f>SUM(W18:W24)-AH18</f>
        <v>17564708.923990496</v>
      </c>
      <c r="AJ18" s="167" t="s">
        <v>481</v>
      </c>
      <c r="AK18" s="313">
        <v>3</v>
      </c>
      <c r="AL18" s="319">
        <v>3</v>
      </c>
      <c r="AM18" s="227">
        <f t="shared" si="0"/>
        <v>6</v>
      </c>
    </row>
    <row r="19" spans="2:39" ht="84.75" hidden="1" x14ac:dyDescent="0.25">
      <c r="B19" s="246">
        <v>3.2</v>
      </c>
      <c r="C19" s="198" t="s">
        <v>406</v>
      </c>
      <c r="D19" s="70" t="s">
        <v>454</v>
      </c>
      <c r="E19" s="110" t="s">
        <v>455</v>
      </c>
      <c r="F19" s="268">
        <v>0.95</v>
      </c>
      <c r="G19" s="268">
        <v>0.95</v>
      </c>
      <c r="H19" s="255">
        <f>Baasandmed!$K$3*F19</f>
        <v>4431.75</v>
      </c>
      <c r="I19" s="256">
        <f>I18*G19</f>
        <v>441512.02499999991</v>
      </c>
      <c r="J19" s="189" t="s">
        <v>450</v>
      </c>
      <c r="K19" s="186" t="s">
        <v>482</v>
      </c>
      <c r="L19" s="186" t="s">
        <v>497</v>
      </c>
      <c r="M19" s="286">
        <v>0.15</v>
      </c>
      <c r="N19" s="144">
        <f>((M19/Baasandmed!$N$3)*Baasandmed!$P$3)+((M19/Baasandmed!$N$11)*Baasandmed!$P$11)+((M19/Baasandmed!$N$12)*Baasandmed!$P$12)+((M19/Baasandmed!$N$17)*Baasandmed!$P$17)</f>
        <v>12374461.378904996</v>
      </c>
      <c r="O19" s="291">
        <v>0.05</v>
      </c>
      <c r="P19" s="144">
        <f>(SUM(Baasandmed!$G$30:$G$63))*O19</f>
        <v>3575208.4905274995</v>
      </c>
      <c r="Q19" s="291">
        <v>0</v>
      </c>
      <c r="R19" s="144">
        <f>(Baasandmed!$G$66+Baasandmed!$G$67+Baasandmed!$G$71+Baasandmed!$G$72+Baasandmed!$G$76+Baasandmed!$G$77+Baasandmed!$G$81+Baasandmed!$G$82+Baasandmed!$G$86+Baasandmed!$G$87+Baasandmed!$G$91+Baasandmed!$G$92+Baasandmed!$G$96+Baasandmed!$G$97+Baasandmed!$G$101+Baasandmed!$G$102)*Majandusanalüüs!Q19</f>
        <v>0</v>
      </c>
      <c r="S19" s="283"/>
      <c r="T19" s="144"/>
      <c r="U19" s="296">
        <v>0</v>
      </c>
      <c r="V19" s="145">
        <f>(U19*(I19/10))*Baasandmed!$D$4</f>
        <v>0</v>
      </c>
      <c r="W19" s="157">
        <f>N19+P19+R19+T19+V19</f>
        <v>15949669.869432496</v>
      </c>
      <c r="X19" s="303"/>
      <c r="Y19" s="176"/>
      <c r="Z19" s="303"/>
      <c r="AA19" s="176"/>
      <c r="AB19" s="303"/>
      <c r="AC19" s="177"/>
      <c r="AD19" s="342"/>
      <c r="AE19" s="343"/>
      <c r="AF19" s="303"/>
      <c r="AG19" s="177"/>
      <c r="AH19" s="69">
        <f>Y19+AA19+AC19+(AE19/Baasandmed!$D$13)+AG19</f>
        <v>0</v>
      </c>
      <c r="AI19" s="113"/>
      <c r="AJ19" s="71" t="s">
        <v>484</v>
      </c>
      <c r="AK19" s="314">
        <v>4</v>
      </c>
      <c r="AL19" s="315">
        <v>3</v>
      </c>
      <c r="AM19" s="227">
        <f t="shared" si="0"/>
        <v>7</v>
      </c>
    </row>
    <row r="20" spans="2:39" ht="36" hidden="1" x14ac:dyDescent="0.25">
      <c r="B20" s="246">
        <v>3.3</v>
      </c>
      <c r="C20" s="198" t="s">
        <v>406</v>
      </c>
      <c r="D20" s="70" t="s">
        <v>459</v>
      </c>
      <c r="E20" s="110" t="s">
        <v>460</v>
      </c>
      <c r="F20" s="268">
        <v>0.2</v>
      </c>
      <c r="G20" s="268">
        <v>0.4</v>
      </c>
      <c r="H20" s="255">
        <f>H19*F20</f>
        <v>886.35</v>
      </c>
      <c r="I20" s="256">
        <f>I19*G20</f>
        <v>176604.80999999997</v>
      </c>
      <c r="J20" s="189" t="s">
        <v>450</v>
      </c>
      <c r="K20" s="115" t="s">
        <v>485</v>
      </c>
      <c r="L20" s="185"/>
      <c r="M20" s="283"/>
      <c r="N20" s="145"/>
      <c r="O20" s="292"/>
      <c r="P20" s="145"/>
      <c r="Q20" s="284"/>
      <c r="R20" s="145"/>
      <c r="S20" s="284"/>
      <c r="T20" s="145"/>
      <c r="U20" s="296">
        <v>0</v>
      </c>
      <c r="V20" s="145">
        <f>(U20*(I20/10))*Baasandmed!$D$7</f>
        <v>0</v>
      </c>
      <c r="W20" s="157">
        <f t="shared" ref="W20:W21" si="3">N20+P20+R20+T20+V20</f>
        <v>0</v>
      </c>
      <c r="X20" s="303"/>
      <c r="Y20" s="176"/>
      <c r="Z20" s="303"/>
      <c r="AA20" s="176"/>
      <c r="AB20" s="303"/>
      <c r="AC20" s="177"/>
      <c r="AD20" s="303"/>
      <c r="AE20" s="177"/>
      <c r="AF20" s="303"/>
      <c r="AG20" s="177"/>
      <c r="AH20" s="69">
        <f>Y20+AA20+AC20+(AE20/Baasandmed!$D$13)+AG20</f>
        <v>0</v>
      </c>
      <c r="AI20" s="113"/>
      <c r="AJ20" s="68" t="s">
        <v>462</v>
      </c>
      <c r="AK20" s="315">
        <v>3</v>
      </c>
      <c r="AL20" s="315">
        <v>3</v>
      </c>
      <c r="AM20" s="227">
        <f t="shared" si="0"/>
        <v>6</v>
      </c>
    </row>
    <row r="21" spans="2:39" ht="48.75" hidden="1" x14ac:dyDescent="0.25">
      <c r="B21" s="246">
        <v>3.4</v>
      </c>
      <c r="C21" s="198" t="s">
        <v>406</v>
      </c>
      <c r="D21" s="70" t="s">
        <v>463</v>
      </c>
      <c r="E21" s="110" t="s">
        <v>498</v>
      </c>
      <c r="F21" s="268">
        <v>1</v>
      </c>
      <c r="G21" s="268">
        <v>1</v>
      </c>
      <c r="H21" s="257">
        <f>H19*F21</f>
        <v>4431.75</v>
      </c>
      <c r="I21" s="256">
        <f>I19*G21</f>
        <v>441512.02499999991</v>
      </c>
      <c r="J21" s="189" t="s">
        <v>450</v>
      </c>
      <c r="K21" s="115" t="s">
        <v>499</v>
      </c>
      <c r="L21" s="186" t="s">
        <v>488</v>
      </c>
      <c r="M21" s="283"/>
      <c r="N21" s="145"/>
      <c r="O21" s="292"/>
      <c r="P21" s="145"/>
      <c r="Q21" s="284"/>
      <c r="R21" s="145"/>
      <c r="S21" s="284"/>
      <c r="T21" s="145"/>
      <c r="U21" s="296">
        <v>0.12</v>
      </c>
      <c r="V21" s="145">
        <f>(U21*(I21/10))*Baasandmed!$D$7</f>
        <v>69193.764557999995</v>
      </c>
      <c r="W21" s="157">
        <f t="shared" si="3"/>
        <v>69193.764557999995</v>
      </c>
      <c r="X21" s="303"/>
      <c r="Y21" s="176"/>
      <c r="Z21" s="303"/>
      <c r="AA21" s="176"/>
      <c r="AB21" s="303"/>
      <c r="AC21" s="177"/>
      <c r="AD21" s="303"/>
      <c r="AE21" s="177"/>
      <c r="AF21" s="303"/>
      <c r="AG21" s="177"/>
      <c r="AH21" s="69">
        <f>Y21+AA21+AC21+(AE21/Baasandmed!$D$13)+AG21</f>
        <v>0</v>
      </c>
      <c r="AI21" s="113"/>
      <c r="AJ21" s="71" t="s">
        <v>466</v>
      </c>
      <c r="AK21" s="315">
        <v>3</v>
      </c>
      <c r="AL21" s="315">
        <v>3</v>
      </c>
      <c r="AM21" s="227">
        <f t="shared" si="0"/>
        <v>6</v>
      </c>
    </row>
    <row r="22" spans="2:39" ht="48" hidden="1" x14ac:dyDescent="0.25">
      <c r="B22" s="246">
        <v>3.5</v>
      </c>
      <c r="C22" s="198" t="s">
        <v>406</v>
      </c>
      <c r="D22" s="70" t="s">
        <v>467</v>
      </c>
      <c r="E22" s="110"/>
      <c r="F22" s="269"/>
      <c r="G22" s="269"/>
      <c r="H22" s="257"/>
      <c r="I22" s="256"/>
      <c r="J22" s="189" t="s">
        <v>469</v>
      </c>
      <c r="K22" s="115" t="s">
        <v>500</v>
      </c>
      <c r="L22" s="185"/>
      <c r="M22" s="284"/>
      <c r="N22" s="145"/>
      <c r="O22" s="292"/>
      <c r="P22" s="145"/>
      <c r="Q22" s="284"/>
      <c r="R22" s="145"/>
      <c r="S22" s="284"/>
      <c r="T22" s="145"/>
      <c r="U22" s="284"/>
      <c r="V22" s="145"/>
      <c r="W22" s="157"/>
      <c r="X22" s="303"/>
      <c r="Y22" s="176"/>
      <c r="Z22" s="303"/>
      <c r="AA22" s="176"/>
      <c r="AB22" s="303"/>
      <c r="AC22" s="177"/>
      <c r="AD22" s="303"/>
      <c r="AE22" s="177"/>
      <c r="AF22" s="303"/>
      <c r="AG22" s="177"/>
      <c r="AH22" s="69">
        <f>Y22+AA22+AC22+(AE22/Baasandmed!$D$13)+AG22</f>
        <v>0</v>
      </c>
      <c r="AI22" s="113"/>
      <c r="AJ22" s="68" t="s">
        <v>470</v>
      </c>
      <c r="AK22" s="315">
        <v>0</v>
      </c>
      <c r="AL22" s="315">
        <v>3</v>
      </c>
      <c r="AM22" s="227">
        <f t="shared" si="0"/>
        <v>3</v>
      </c>
    </row>
    <row r="23" spans="2:39" ht="57" hidden="1" x14ac:dyDescent="0.25">
      <c r="B23" s="246">
        <v>3.6</v>
      </c>
      <c r="C23" s="198" t="s">
        <v>406</v>
      </c>
      <c r="D23" s="70" t="s">
        <v>472</v>
      </c>
      <c r="E23" s="110" t="s">
        <v>489</v>
      </c>
      <c r="F23" s="268">
        <v>1</v>
      </c>
      <c r="G23" s="268">
        <v>1</v>
      </c>
      <c r="H23" s="257">
        <f>H19*F23</f>
        <v>4431.75</v>
      </c>
      <c r="I23" s="256">
        <f>I19*G23</f>
        <v>441512.02499999991</v>
      </c>
      <c r="J23" s="189" t="s">
        <v>469</v>
      </c>
      <c r="K23" s="115" t="s">
        <v>501</v>
      </c>
      <c r="L23" s="186" t="s">
        <v>502</v>
      </c>
      <c r="M23" s="283"/>
      <c r="N23" s="145"/>
      <c r="O23" s="292"/>
      <c r="P23" s="145"/>
      <c r="Q23" s="284"/>
      <c r="R23" s="145"/>
      <c r="S23" s="292">
        <v>0.1</v>
      </c>
      <c r="T23" s="145">
        <f>(((I23*45))*S23)*0.8</f>
        <v>1589443.29</v>
      </c>
      <c r="U23" s="284"/>
      <c r="V23" s="145"/>
      <c r="W23" s="157">
        <f t="shared" ref="W23" si="4">N23+P23+R23+T23+V23</f>
        <v>1589443.29</v>
      </c>
      <c r="X23" s="303"/>
      <c r="Y23" s="176"/>
      <c r="Z23" s="303"/>
      <c r="AA23" s="176"/>
      <c r="AB23" s="303"/>
      <c r="AC23" s="177"/>
      <c r="AD23" s="303"/>
      <c r="AE23" s="177"/>
      <c r="AF23" s="303"/>
      <c r="AG23" s="177"/>
      <c r="AH23" s="69">
        <f>Y23+AA23+AC23+(AE23/Baasandmed!$D$13)+AG23</f>
        <v>0</v>
      </c>
      <c r="AI23" s="113"/>
      <c r="AJ23" s="68" t="s">
        <v>491</v>
      </c>
      <c r="AK23" s="315">
        <v>3</v>
      </c>
      <c r="AL23" s="315">
        <v>3</v>
      </c>
      <c r="AM23" s="227">
        <f t="shared" si="0"/>
        <v>6</v>
      </c>
    </row>
    <row r="24" spans="2:39" ht="45.75" hidden="1" x14ac:dyDescent="0.25">
      <c r="B24" s="246">
        <v>3.7</v>
      </c>
      <c r="C24" s="198" t="s">
        <v>406</v>
      </c>
      <c r="D24" s="133" t="s">
        <v>476</v>
      </c>
      <c r="E24" s="191" t="s">
        <v>492</v>
      </c>
      <c r="F24" s="270"/>
      <c r="G24" s="270"/>
      <c r="H24" s="258"/>
      <c r="I24" s="259"/>
      <c r="J24" s="190" t="s">
        <v>469</v>
      </c>
      <c r="K24" s="135" t="s">
        <v>503</v>
      </c>
      <c r="L24" s="186"/>
      <c r="M24" s="285"/>
      <c r="N24" s="146"/>
      <c r="O24" s="293"/>
      <c r="P24" s="146"/>
      <c r="Q24" s="285"/>
      <c r="R24" s="146"/>
      <c r="S24" s="285"/>
      <c r="T24" s="146"/>
      <c r="U24" s="297"/>
      <c r="V24" s="147"/>
      <c r="W24" s="157"/>
      <c r="X24" s="304"/>
      <c r="Y24" s="178"/>
      <c r="Z24" s="304"/>
      <c r="AA24" s="178"/>
      <c r="AB24" s="304"/>
      <c r="AC24" s="179"/>
      <c r="AD24" s="304"/>
      <c r="AE24" s="179"/>
      <c r="AF24" s="304"/>
      <c r="AG24" s="179"/>
      <c r="AH24" s="69">
        <f>Y24+AA24+AC24+(AE24/Baasandmed!$D$13)+AG24</f>
        <v>0</v>
      </c>
      <c r="AI24" s="142"/>
      <c r="AJ24" s="136" t="s">
        <v>504</v>
      </c>
      <c r="AK24" s="316">
        <v>2</v>
      </c>
      <c r="AL24" s="320">
        <v>3</v>
      </c>
      <c r="AM24" s="228">
        <f t="shared" si="0"/>
        <v>5</v>
      </c>
    </row>
    <row r="25" spans="2:39" ht="109.5" thickBot="1" x14ac:dyDescent="0.3">
      <c r="B25" s="246">
        <v>4.0999999999999996</v>
      </c>
      <c r="C25" s="156" t="s">
        <v>778</v>
      </c>
      <c r="D25" s="207" t="s">
        <v>209</v>
      </c>
      <c r="E25" s="192" t="s">
        <v>505</v>
      </c>
      <c r="F25" s="271"/>
      <c r="G25" s="272">
        <v>1</v>
      </c>
      <c r="H25" s="253"/>
      <c r="I25" s="254">
        <f>Baasandmed!$L$26*G25</f>
        <v>920405</v>
      </c>
      <c r="J25" s="188" t="s">
        <v>450</v>
      </c>
      <c r="K25" s="187" t="s">
        <v>506</v>
      </c>
      <c r="L25" s="187" t="s">
        <v>507</v>
      </c>
      <c r="M25" s="281"/>
      <c r="N25" s="143"/>
      <c r="O25" s="290"/>
      <c r="P25" s="143"/>
      <c r="Q25" s="281"/>
      <c r="R25" s="143"/>
      <c r="S25" s="281"/>
      <c r="T25" s="143"/>
      <c r="U25" s="281"/>
      <c r="V25" s="143"/>
      <c r="W25" s="158"/>
      <c r="X25" s="300">
        <v>0</v>
      </c>
      <c r="Y25" s="213">
        <f>X25*Baasandmed!$D$10</f>
        <v>0</v>
      </c>
      <c r="Z25" s="300">
        <v>250</v>
      </c>
      <c r="AA25" s="251">
        <f>Z25*Baasandmed!$D$10</f>
        <v>16250</v>
      </c>
      <c r="AB25" s="307">
        <v>2500</v>
      </c>
      <c r="AC25" s="336">
        <f>AB25*Baasandmed!D8</f>
        <v>37000</v>
      </c>
      <c r="AD25" s="359"/>
      <c r="AE25" s="349">
        <v>864000</v>
      </c>
      <c r="AF25" s="338">
        <v>200</v>
      </c>
      <c r="AG25" s="170">
        <f>AF25*Baasandmed!$D$10</f>
        <v>13000</v>
      </c>
      <c r="AH25" s="171">
        <f>Y25+AA25+AC25+(AE25/Baasandmed!$D$13)+AG25</f>
        <v>239050</v>
      </c>
      <c r="AI25" s="180">
        <f>SUM(W25:W30)-AH25</f>
        <v>2561316.2782100001</v>
      </c>
      <c r="AJ25" s="167" t="s">
        <v>508</v>
      </c>
      <c r="AK25" s="313">
        <v>5</v>
      </c>
      <c r="AL25" s="319">
        <v>5</v>
      </c>
      <c r="AM25" s="227">
        <f t="shared" si="0"/>
        <v>10</v>
      </c>
    </row>
    <row r="26" spans="2:39" ht="135.75" hidden="1" customHeight="1" x14ac:dyDescent="0.25">
      <c r="B26" s="246">
        <v>4.2</v>
      </c>
      <c r="C26" s="50" t="s">
        <v>32</v>
      </c>
      <c r="D26" s="70" t="s">
        <v>454</v>
      </c>
      <c r="E26" s="110" t="s">
        <v>455</v>
      </c>
      <c r="F26" s="268">
        <v>0.95</v>
      </c>
      <c r="G26" s="268">
        <v>1</v>
      </c>
      <c r="H26" s="255">
        <f>Baasandmed!$K$26*F26</f>
        <v>14129.349999999999</v>
      </c>
      <c r="I26" s="256">
        <f>I25*G26</f>
        <v>920405</v>
      </c>
      <c r="J26" s="189" t="s">
        <v>450</v>
      </c>
      <c r="K26" s="186" t="s">
        <v>509</v>
      </c>
      <c r="L26" s="186" t="s">
        <v>510</v>
      </c>
      <c r="M26" s="286">
        <v>0</v>
      </c>
      <c r="N26" s="144">
        <f>((M26/Baasandmed!$N$3)*Baasandmed!$P$3)+((M26/Baasandmed!$N$11)*Baasandmed!$P$11)+((M26/Baasandmed!$N$12)*Baasandmed!$P$12)+((M26/Baasandmed!$N$17)*Baasandmed!$P$17)</f>
        <v>0</v>
      </c>
      <c r="O26" s="291">
        <v>0</v>
      </c>
      <c r="P26" s="144">
        <f>(SUM(Baasandmed!$G$30:$G$63))*O26</f>
        <v>0</v>
      </c>
      <c r="Q26" s="291">
        <v>0</v>
      </c>
      <c r="R26" s="144">
        <f>(Baasandmed!$G$66+Baasandmed!$G$67+Baasandmed!$G$71+Baasandmed!$G$72+Baasandmed!$G$76+Baasandmed!$G$77+Baasandmed!$G$81+Baasandmed!$G$82+Baasandmed!$G$86+Baasandmed!$G$87+Baasandmed!$G$91+Baasandmed!$G$92+Baasandmed!$G$96+Baasandmed!$G$97+Baasandmed!$G$101+Baasandmed!$G$102)*Majandusanalüüs!Q26</f>
        <v>0</v>
      </c>
      <c r="S26" s="283"/>
      <c r="T26" s="144"/>
      <c r="U26" s="296">
        <v>2</v>
      </c>
      <c r="V26" s="145">
        <f>(U26*(I26/10))*Baasandmed!$D$4</f>
        <v>1803993.8</v>
      </c>
      <c r="W26" s="157">
        <f>N26+P26+R26+T26+V26</f>
        <v>1803993.8</v>
      </c>
      <c r="X26" s="303"/>
      <c r="Y26" s="176"/>
      <c r="Z26" s="303"/>
      <c r="AA26" s="176"/>
      <c r="AB26" s="303"/>
      <c r="AC26" s="177"/>
      <c r="AD26" s="342"/>
      <c r="AE26" s="343"/>
      <c r="AF26" s="303"/>
      <c r="AG26" s="177"/>
      <c r="AH26" s="69">
        <f>Y26+AA26+AC26+(AE26/Baasandmed!$D$13)+AG26</f>
        <v>0</v>
      </c>
      <c r="AI26" s="113"/>
      <c r="AJ26" s="71" t="s">
        <v>484</v>
      </c>
      <c r="AK26" s="314">
        <v>3</v>
      </c>
      <c r="AL26" s="315">
        <v>3</v>
      </c>
      <c r="AM26" s="227">
        <f t="shared" si="0"/>
        <v>6</v>
      </c>
    </row>
    <row r="27" spans="2:39" ht="36" hidden="1" x14ac:dyDescent="0.25">
      <c r="B27" s="246">
        <v>4.3</v>
      </c>
      <c r="C27" s="50" t="s">
        <v>32</v>
      </c>
      <c r="D27" s="70" t="s">
        <v>459</v>
      </c>
      <c r="E27" s="110" t="s">
        <v>460</v>
      </c>
      <c r="F27" s="268">
        <v>0.2</v>
      </c>
      <c r="G27" s="268">
        <v>0.6</v>
      </c>
      <c r="H27" s="255">
        <f>H26*F27</f>
        <v>2825.87</v>
      </c>
      <c r="I27" s="256">
        <f>I26*G27</f>
        <v>552243</v>
      </c>
      <c r="J27" s="189" t="s">
        <v>450</v>
      </c>
      <c r="K27" s="115" t="s">
        <v>485</v>
      </c>
      <c r="L27" s="185"/>
      <c r="M27" s="283"/>
      <c r="N27" s="145"/>
      <c r="O27" s="292"/>
      <c r="P27" s="145"/>
      <c r="Q27" s="284"/>
      <c r="R27" s="145"/>
      <c r="S27" s="284"/>
      <c r="T27" s="145"/>
      <c r="U27" s="296">
        <v>0.12</v>
      </c>
      <c r="V27" s="145">
        <f>(U27*(I27/10))*Baasandmed!$D$7</f>
        <v>86547.522960000002</v>
      </c>
      <c r="W27" s="157">
        <f t="shared" ref="W27:W29" si="5">N27+P27+R27+T27+V27</f>
        <v>86547.522960000002</v>
      </c>
      <c r="X27" s="303"/>
      <c r="Y27" s="176"/>
      <c r="Z27" s="303"/>
      <c r="AA27" s="176"/>
      <c r="AB27" s="303"/>
      <c r="AC27" s="177"/>
      <c r="AD27" s="303"/>
      <c r="AE27" s="177"/>
      <c r="AF27" s="303"/>
      <c r="AG27" s="177"/>
      <c r="AH27" s="69">
        <f>Y27+AA27+AC27+(AE27/Baasandmed!$D$13)+AG27</f>
        <v>0</v>
      </c>
      <c r="AI27" s="113"/>
      <c r="AJ27" s="68" t="s">
        <v>462</v>
      </c>
      <c r="AK27" s="315">
        <v>4</v>
      </c>
      <c r="AL27" s="315">
        <v>3</v>
      </c>
      <c r="AM27" s="227">
        <f t="shared" si="0"/>
        <v>7</v>
      </c>
    </row>
    <row r="28" spans="2:39" ht="60" hidden="1" x14ac:dyDescent="0.25">
      <c r="B28" s="246">
        <v>4.4000000000000004</v>
      </c>
      <c r="C28" s="50" t="s">
        <v>32</v>
      </c>
      <c r="D28" s="70" t="s">
        <v>463</v>
      </c>
      <c r="E28" s="110" t="s">
        <v>498</v>
      </c>
      <c r="F28" s="268">
        <v>1</v>
      </c>
      <c r="G28" s="268">
        <v>1</v>
      </c>
      <c r="H28" s="255">
        <f>H26*F28</f>
        <v>14129.349999999999</v>
      </c>
      <c r="I28" s="256">
        <f>I26*G28</f>
        <v>920405</v>
      </c>
      <c r="J28" s="189" t="s">
        <v>450</v>
      </c>
      <c r="K28" s="115" t="s">
        <v>511</v>
      </c>
      <c r="L28" s="186" t="s">
        <v>488</v>
      </c>
      <c r="M28" s="283"/>
      <c r="N28" s="145"/>
      <c r="O28" s="292"/>
      <c r="P28" s="145"/>
      <c r="Q28" s="284"/>
      <c r="R28" s="145"/>
      <c r="S28" s="284"/>
      <c r="T28" s="145"/>
      <c r="U28" s="296">
        <v>0.12</v>
      </c>
      <c r="V28" s="145">
        <f>(U28*(I28/10))*Baasandmed!$D$7</f>
        <v>144245.87159999998</v>
      </c>
      <c r="W28" s="157">
        <f t="shared" si="5"/>
        <v>144245.87159999998</v>
      </c>
      <c r="X28" s="303"/>
      <c r="Y28" s="176"/>
      <c r="Z28" s="303"/>
      <c r="AA28" s="176"/>
      <c r="AB28" s="303"/>
      <c r="AC28" s="177"/>
      <c r="AD28" s="303"/>
      <c r="AE28" s="177"/>
      <c r="AF28" s="303"/>
      <c r="AG28" s="177"/>
      <c r="AH28" s="69">
        <f>Y28+AA28+AC28+(AE28/Baasandmed!$D$13)+AG28</f>
        <v>0</v>
      </c>
      <c r="AI28" s="113"/>
      <c r="AJ28" s="71" t="s">
        <v>466</v>
      </c>
      <c r="AK28" s="315">
        <v>5</v>
      </c>
      <c r="AL28" s="315">
        <v>4</v>
      </c>
      <c r="AM28" s="227">
        <f t="shared" si="0"/>
        <v>9</v>
      </c>
    </row>
    <row r="29" spans="2:39" ht="63.75" hidden="1" x14ac:dyDescent="0.25">
      <c r="B29" s="246">
        <v>4.5</v>
      </c>
      <c r="C29" s="50" t="s">
        <v>32</v>
      </c>
      <c r="D29" s="70" t="s">
        <v>467</v>
      </c>
      <c r="E29" s="110" t="s">
        <v>468</v>
      </c>
      <c r="F29" s="268">
        <v>0.6</v>
      </c>
      <c r="G29" s="269"/>
      <c r="H29" s="255">
        <f>H26*F29</f>
        <v>8477.6099999999988</v>
      </c>
      <c r="I29" s="256"/>
      <c r="J29" s="189" t="s">
        <v>469</v>
      </c>
      <c r="K29" s="115" t="s">
        <v>512</v>
      </c>
      <c r="L29" s="186" t="s">
        <v>513</v>
      </c>
      <c r="M29" s="284"/>
      <c r="N29" s="145"/>
      <c r="O29" s="292"/>
      <c r="P29" s="145"/>
      <c r="Q29" s="284"/>
      <c r="R29" s="145"/>
      <c r="S29" s="284"/>
      <c r="T29" s="145"/>
      <c r="U29" s="296">
        <v>0.5</v>
      </c>
      <c r="V29" s="145">
        <f>H29*U29*Baasandmed!$D$6</f>
        <v>84479.383649999989</v>
      </c>
      <c r="W29" s="157">
        <f t="shared" si="5"/>
        <v>84479.383649999989</v>
      </c>
      <c r="X29" s="303"/>
      <c r="Y29" s="176"/>
      <c r="Z29" s="303"/>
      <c r="AA29" s="176"/>
      <c r="AB29" s="303"/>
      <c r="AC29" s="177"/>
      <c r="AD29" s="303"/>
      <c r="AE29" s="177"/>
      <c r="AF29" s="303"/>
      <c r="AG29" s="177"/>
      <c r="AH29" s="69">
        <f>Y29+AA29+AC29+(AE29/Baasandmed!$D$13)+AG29</f>
        <v>0</v>
      </c>
      <c r="AI29" s="113"/>
      <c r="AJ29" s="68" t="s">
        <v>470</v>
      </c>
      <c r="AK29" s="315">
        <v>3</v>
      </c>
      <c r="AL29" s="315">
        <v>4</v>
      </c>
      <c r="AM29" s="227">
        <f t="shared" si="0"/>
        <v>7</v>
      </c>
    </row>
    <row r="30" spans="2:39" ht="114.75" hidden="1" customHeight="1" x14ac:dyDescent="0.25">
      <c r="B30" s="246">
        <v>4.5999999999999996</v>
      </c>
      <c r="C30" s="50" t="s">
        <v>32</v>
      </c>
      <c r="D30" s="70" t="s">
        <v>472</v>
      </c>
      <c r="E30" s="110" t="s">
        <v>514</v>
      </c>
      <c r="F30" s="268">
        <v>1</v>
      </c>
      <c r="G30" s="268">
        <v>1</v>
      </c>
      <c r="H30" s="257">
        <f>H26*F30</f>
        <v>14129.349999999999</v>
      </c>
      <c r="I30" s="256">
        <f>I26*G30</f>
        <v>920405</v>
      </c>
      <c r="J30" s="189" t="s">
        <v>469</v>
      </c>
      <c r="K30" s="115" t="s">
        <v>515</v>
      </c>
      <c r="L30" s="186" t="s">
        <v>516</v>
      </c>
      <c r="M30" s="283"/>
      <c r="N30" s="145"/>
      <c r="O30" s="292"/>
      <c r="P30" s="145"/>
      <c r="Q30" s="284"/>
      <c r="R30" s="145"/>
      <c r="S30" s="295">
        <v>0</v>
      </c>
      <c r="T30" s="145">
        <f>S30*I30</f>
        <v>0</v>
      </c>
      <c r="U30" s="296">
        <v>0.5</v>
      </c>
      <c r="V30" s="145">
        <f>(U30*(I30/10))*Baasandmed!$D$8</f>
        <v>681099.70000000007</v>
      </c>
      <c r="W30" s="157">
        <f t="shared" ref="W30:W31" si="6">N30+P30+R30+T30+V30</f>
        <v>681099.70000000007</v>
      </c>
      <c r="X30" s="304"/>
      <c r="Y30" s="178"/>
      <c r="Z30" s="304"/>
      <c r="AA30" s="178"/>
      <c r="AB30" s="304"/>
      <c r="AC30" s="179"/>
      <c r="AD30" s="304"/>
      <c r="AE30" s="179"/>
      <c r="AF30" s="304"/>
      <c r="AG30" s="179"/>
      <c r="AH30" s="137">
        <f>Y30+AA30+AC30+(AE30/Baasandmed!$D$13)+AG30</f>
        <v>0</v>
      </c>
      <c r="AI30" s="113"/>
      <c r="AJ30" s="68" t="s">
        <v>491</v>
      </c>
      <c r="AK30" s="315">
        <v>5</v>
      </c>
      <c r="AL30" s="315">
        <v>7</v>
      </c>
      <c r="AM30" s="227">
        <f t="shared" si="0"/>
        <v>12</v>
      </c>
    </row>
    <row r="31" spans="2:39" ht="38.25" hidden="1" x14ac:dyDescent="0.25">
      <c r="B31" s="246">
        <v>4.7</v>
      </c>
      <c r="C31" s="126" t="s">
        <v>32</v>
      </c>
      <c r="D31" s="133" t="s">
        <v>476</v>
      </c>
      <c r="E31" s="191" t="s">
        <v>492</v>
      </c>
      <c r="F31" s="270"/>
      <c r="G31" s="273">
        <v>1</v>
      </c>
      <c r="H31" s="258"/>
      <c r="I31" s="256">
        <f>I26*G31</f>
        <v>920405</v>
      </c>
      <c r="J31" s="190" t="s">
        <v>450</v>
      </c>
      <c r="K31" s="135" t="s">
        <v>517</v>
      </c>
      <c r="L31" s="186" t="s">
        <v>518</v>
      </c>
      <c r="M31" s="286">
        <v>0.3</v>
      </c>
      <c r="N31" s="144">
        <f>((M31/Baasandmed!$N$3)*Baasandmed!$P$3)+((M31/Baasandmed!$N$11)*Baasandmed!$P$11)+((M31/Baasandmed!$N$12)*Baasandmed!$P$12)+((M31/Baasandmed!$N$17)*Baasandmed!$P$17)</f>
        <v>24748922.757809993</v>
      </c>
      <c r="O31" s="291">
        <v>0.05</v>
      </c>
      <c r="P31" s="144">
        <f>(SUM(Baasandmed!$G$30:$G$63))*O31</f>
        <v>3575208.4905274995</v>
      </c>
      <c r="Q31" s="291">
        <v>0.05</v>
      </c>
      <c r="R31" s="144">
        <f>(Baasandmed!$G$66+Baasandmed!$G$67+Baasandmed!$G$71+Baasandmed!$G$72+Baasandmed!$G$76+Baasandmed!$G$77+Baasandmed!$G$81+Baasandmed!$G$82+Baasandmed!$G$86+Baasandmed!$G$87+Baasandmed!$G$91+Baasandmed!$G$92+Baasandmed!$G$96+Baasandmed!$G$97+Baasandmed!$G$101+Baasandmed!$G$102)*Majandusanalüüs!Q31</f>
        <v>491638.51213499997</v>
      </c>
      <c r="S31" s="285"/>
      <c r="T31" s="146"/>
      <c r="U31" s="296">
        <v>0.5</v>
      </c>
      <c r="V31" s="145">
        <f>(U31*(I31/10))*Baasandmed!$D$8</f>
        <v>681099.70000000007</v>
      </c>
      <c r="W31" s="157">
        <f t="shared" si="6"/>
        <v>29496869.460472491</v>
      </c>
      <c r="X31" s="305">
        <v>1000</v>
      </c>
      <c r="Y31" s="234">
        <f>X31*Baasandmed!$D$10</f>
        <v>65000</v>
      </c>
      <c r="Z31" s="305">
        <v>400</v>
      </c>
      <c r="AA31" s="234">
        <f>Z31*Baasandmed!$D$10</f>
        <v>26000</v>
      </c>
      <c r="AB31" s="308">
        <v>1000</v>
      </c>
      <c r="AC31" s="235">
        <f>AB31*Baasandmed!$D$10</f>
        <v>65000</v>
      </c>
      <c r="AD31" s="308">
        <v>50000</v>
      </c>
      <c r="AE31" s="235">
        <f>AD31*Baasandmed!$D$10</f>
        <v>3250000</v>
      </c>
      <c r="AF31" s="308">
        <v>2500</v>
      </c>
      <c r="AG31" s="235">
        <f>AF31*Baasandmed!$D$10</f>
        <v>162500</v>
      </c>
      <c r="AH31" s="137">
        <f>Y31+AA31+AC31+(AE31/Baasandmed!$D$13)+AG31</f>
        <v>968500</v>
      </c>
      <c r="AI31" s="142"/>
      <c r="AJ31" s="136" t="s">
        <v>519</v>
      </c>
      <c r="AK31" s="316">
        <v>2</v>
      </c>
      <c r="AL31" s="320">
        <v>3</v>
      </c>
      <c r="AM31" s="228">
        <f t="shared" si="0"/>
        <v>5</v>
      </c>
    </row>
    <row r="32" spans="2:39" s="83" customFormat="1" ht="87" customHeight="1" thickBot="1" x14ac:dyDescent="0.3">
      <c r="B32" s="246">
        <v>5.0999999999999996</v>
      </c>
      <c r="C32" s="197" t="s">
        <v>20</v>
      </c>
      <c r="D32" s="207" t="s">
        <v>209</v>
      </c>
      <c r="E32" s="192" t="s">
        <v>505</v>
      </c>
      <c r="F32" s="271"/>
      <c r="G32" s="272">
        <v>1</v>
      </c>
      <c r="H32" s="253"/>
      <c r="I32" s="254">
        <f>(Baasandmed!$L$3*Baasandmed!$M$3+Baasandmed!$L$10*Baasandmed!$M$10+Baasandmed!$L$14*Baasandmed!$M$14+Baasandmed!$L$17*Baasandmed!$M$17+Baasandmed!$L$19*Baasandmed!$M$19+Baasandmed!$L$20*Baasandmed!$M$20+Baasandmed!$L$25)*G32</f>
        <v>589329.5</v>
      </c>
      <c r="J32" s="188" t="s">
        <v>450</v>
      </c>
      <c r="K32" s="201" t="s">
        <v>520</v>
      </c>
      <c r="L32" s="187" t="s">
        <v>521</v>
      </c>
      <c r="M32" s="281"/>
      <c r="N32" s="143"/>
      <c r="O32" s="290"/>
      <c r="P32" s="143"/>
      <c r="Q32" s="281"/>
      <c r="R32" s="143"/>
      <c r="S32" s="281"/>
      <c r="T32" s="143"/>
      <c r="U32" s="281"/>
      <c r="V32" s="143"/>
      <c r="W32" s="158"/>
      <c r="X32" s="300">
        <v>0</v>
      </c>
      <c r="Y32" s="213">
        <f>X32*Baasandmed!$D$10</f>
        <v>0</v>
      </c>
      <c r="Z32" s="300">
        <v>0</v>
      </c>
      <c r="AA32" s="251">
        <f>Z32*Baasandmed!$D$10</f>
        <v>0</v>
      </c>
      <c r="AB32" s="307">
        <f>2300*1.2</f>
        <v>2760</v>
      </c>
      <c r="AC32" s="336">
        <f>AB32*Baasandmed!$D$7</f>
        <v>36045.599999999999</v>
      </c>
      <c r="AD32" s="348">
        <v>5000</v>
      </c>
      <c r="AE32" s="349">
        <f>AD32*Baasandmed!$D$10</f>
        <v>325000</v>
      </c>
      <c r="AF32" s="338">
        <v>150</v>
      </c>
      <c r="AG32" s="170">
        <f>AF32*Baasandmed!$D$10</f>
        <v>9750</v>
      </c>
      <c r="AH32" s="171">
        <f>Y32+AA32+AC32+(AE32/Baasandmed!$D$13)+AG32</f>
        <v>110795.6</v>
      </c>
      <c r="AI32" s="180">
        <f>SUM(W32:W38)-AH32</f>
        <v>14994136.860884296</v>
      </c>
      <c r="AJ32" s="167" t="s">
        <v>522</v>
      </c>
      <c r="AK32" s="313">
        <v>3</v>
      </c>
      <c r="AL32" s="319">
        <v>3</v>
      </c>
      <c r="AM32" s="227">
        <f t="shared" si="0"/>
        <v>6</v>
      </c>
    </row>
    <row r="33" spans="2:39" s="83" customFormat="1" ht="87" hidden="1" customHeight="1" x14ac:dyDescent="0.25">
      <c r="B33" s="246">
        <v>5.2</v>
      </c>
      <c r="C33" s="198" t="s">
        <v>20</v>
      </c>
      <c r="D33" s="70" t="s">
        <v>454</v>
      </c>
      <c r="E33" s="110" t="s">
        <v>455</v>
      </c>
      <c r="F33" s="268">
        <v>0.95</v>
      </c>
      <c r="G33" s="268">
        <v>0.95</v>
      </c>
      <c r="H33" s="255">
        <f>Baasandmed!$K$3*F33</f>
        <v>4431.75</v>
      </c>
      <c r="I33" s="256">
        <f>I32*G33</f>
        <v>559863.02500000002</v>
      </c>
      <c r="J33" s="189" t="s">
        <v>450</v>
      </c>
      <c r="K33" s="186" t="s">
        <v>523</v>
      </c>
      <c r="L33" s="186" t="s">
        <v>524</v>
      </c>
      <c r="M33" s="286">
        <v>0.15</v>
      </c>
      <c r="N33" s="144">
        <f>((M33/Baasandmed!$N$3)*Baasandmed!$P$3)+((M33/Baasandmed!$N$11)*Baasandmed!$P$11)+((M33/Baasandmed!$N$12)*Baasandmed!$P$12)+((M33/Baasandmed!$N$17)*Baasandmed!$P$17)</f>
        <v>12374461.378904996</v>
      </c>
      <c r="O33" s="291">
        <v>0.03</v>
      </c>
      <c r="P33" s="144">
        <f>(SUM(Baasandmed!$G$30:$G$63))*O33</f>
        <v>2145125.0943164998</v>
      </c>
      <c r="Q33" s="291">
        <v>0.03</v>
      </c>
      <c r="R33" s="144">
        <f>(Baasandmed!$G$66+Baasandmed!$G$67+Baasandmed!$G$71+Baasandmed!$G$72+Baasandmed!$G$76+Baasandmed!$G$77+Baasandmed!$G$81+Baasandmed!$G$82+Baasandmed!$G$86+Baasandmed!$G$87+Baasandmed!$G$91+Baasandmed!$G$92+Baasandmed!$G$96+Baasandmed!$G$97+Baasandmed!$G$101+Baasandmed!$G$102)*Majandusanalüüs!Q33</f>
        <v>294983.10728099995</v>
      </c>
      <c r="S33" s="283"/>
      <c r="T33" s="144"/>
      <c r="U33" s="296">
        <v>0.3</v>
      </c>
      <c r="V33" s="145">
        <f>(U33*(I33/10))*Baasandmed!$D$4</f>
        <v>164599.72935000004</v>
      </c>
      <c r="W33" s="157">
        <f>N33+P33+R33+T33+V33</f>
        <v>14979169.309852496</v>
      </c>
      <c r="X33" s="303"/>
      <c r="Y33" s="176"/>
      <c r="Z33" s="303"/>
      <c r="AA33" s="176"/>
      <c r="AB33" s="303"/>
      <c r="AC33" s="177"/>
      <c r="AD33" s="342"/>
      <c r="AE33" s="343"/>
      <c r="AF33" s="303"/>
      <c r="AG33" s="177"/>
      <c r="AH33" s="69">
        <f>Y33+AA33+AC33+(AE33/Baasandmed!$D$13)+AG33</f>
        <v>0</v>
      </c>
      <c r="AI33" s="113"/>
      <c r="AJ33" s="71" t="s">
        <v>525</v>
      </c>
      <c r="AK33" s="314">
        <v>3</v>
      </c>
      <c r="AL33" s="315">
        <v>4</v>
      </c>
      <c r="AM33" s="227">
        <f t="shared" si="0"/>
        <v>7</v>
      </c>
    </row>
    <row r="34" spans="2:39" s="83" customFormat="1" ht="48.75" hidden="1" x14ac:dyDescent="0.25">
      <c r="B34" s="246">
        <v>5.3</v>
      </c>
      <c r="C34" s="198" t="s">
        <v>20</v>
      </c>
      <c r="D34" s="70" t="s">
        <v>459</v>
      </c>
      <c r="E34" s="110" t="s">
        <v>460</v>
      </c>
      <c r="F34" s="268">
        <v>0.2</v>
      </c>
      <c r="G34" s="268">
        <v>0.6</v>
      </c>
      <c r="H34" s="255">
        <f>H33*F34</f>
        <v>886.35</v>
      </c>
      <c r="I34" s="256">
        <f>I33*G34</f>
        <v>335917.815</v>
      </c>
      <c r="J34" s="189" t="s">
        <v>450</v>
      </c>
      <c r="K34" s="115" t="s">
        <v>485</v>
      </c>
      <c r="L34" s="186" t="s">
        <v>526</v>
      </c>
      <c r="M34" s="283"/>
      <c r="N34" s="145"/>
      <c r="O34" s="292"/>
      <c r="P34" s="145"/>
      <c r="Q34" s="284"/>
      <c r="R34" s="145"/>
      <c r="S34" s="284"/>
      <c r="T34" s="145"/>
      <c r="U34" s="296">
        <v>0.12</v>
      </c>
      <c r="V34" s="145">
        <f>(U34*(I34/10))*Baasandmed!$D$7</f>
        <v>52645.039966799995</v>
      </c>
      <c r="W34" s="157">
        <f t="shared" ref="W34:W38" si="7">N34+P34+R34+T34+V34</f>
        <v>52645.039966799995</v>
      </c>
      <c r="X34" s="303"/>
      <c r="Y34" s="176"/>
      <c r="Z34" s="303"/>
      <c r="AA34" s="176"/>
      <c r="AB34" s="303"/>
      <c r="AC34" s="177"/>
      <c r="AD34" s="303"/>
      <c r="AE34" s="177"/>
      <c r="AF34" s="303"/>
      <c r="AG34" s="177"/>
      <c r="AH34" s="69">
        <f>Y34+AA34+AC34+(AE34/Baasandmed!$D$13)+AG34</f>
        <v>0</v>
      </c>
      <c r="AI34" s="113"/>
      <c r="AJ34" s="68" t="s">
        <v>462</v>
      </c>
      <c r="AK34" s="315">
        <v>3</v>
      </c>
      <c r="AL34" s="315">
        <v>3</v>
      </c>
      <c r="AM34" s="227">
        <f t="shared" si="0"/>
        <v>6</v>
      </c>
    </row>
    <row r="35" spans="2:39" s="83" customFormat="1" ht="48.75" hidden="1" x14ac:dyDescent="0.25">
      <c r="B35" s="246">
        <v>5.4</v>
      </c>
      <c r="C35" s="198" t="s">
        <v>20</v>
      </c>
      <c r="D35" s="70" t="s">
        <v>463</v>
      </c>
      <c r="E35" s="110" t="s">
        <v>498</v>
      </c>
      <c r="F35" s="268">
        <v>1</v>
      </c>
      <c r="G35" s="268">
        <v>1</v>
      </c>
      <c r="H35" s="255">
        <f>H33*F35</f>
        <v>4431.75</v>
      </c>
      <c r="I35" s="256">
        <f>I33*G35</f>
        <v>559863.02500000002</v>
      </c>
      <c r="J35" s="189" t="s">
        <v>450</v>
      </c>
      <c r="K35" s="115" t="s">
        <v>527</v>
      </c>
      <c r="L35" s="186" t="s">
        <v>488</v>
      </c>
      <c r="M35" s="283"/>
      <c r="N35" s="145"/>
      <c r="O35" s="292"/>
      <c r="P35" s="145"/>
      <c r="Q35" s="284"/>
      <c r="R35" s="145"/>
      <c r="S35" s="284"/>
      <c r="T35" s="145"/>
      <c r="U35" s="296">
        <v>0.1</v>
      </c>
      <c r="V35" s="145">
        <f>(U35*(I35/10))*Baasandmed!$D$7</f>
        <v>73118.111065000019</v>
      </c>
      <c r="W35" s="157">
        <f t="shared" si="7"/>
        <v>73118.111065000019</v>
      </c>
      <c r="X35" s="303"/>
      <c r="Y35" s="176"/>
      <c r="Z35" s="303"/>
      <c r="AA35" s="176"/>
      <c r="AB35" s="303"/>
      <c r="AC35" s="177"/>
      <c r="AD35" s="303"/>
      <c r="AE35" s="177"/>
      <c r="AF35" s="303"/>
      <c r="AG35" s="177"/>
      <c r="AH35" s="69">
        <f>Y35+AA35+AC35+(AE35/Baasandmed!$D$13)+AG35</f>
        <v>0</v>
      </c>
      <c r="AI35" s="113"/>
      <c r="AJ35" s="71" t="s">
        <v>466</v>
      </c>
      <c r="AK35" s="315">
        <v>2</v>
      </c>
      <c r="AL35" s="315">
        <v>3</v>
      </c>
      <c r="AM35" s="227">
        <f t="shared" si="0"/>
        <v>5</v>
      </c>
    </row>
    <row r="36" spans="2:39" s="83" customFormat="1" ht="36" hidden="1" x14ac:dyDescent="0.25">
      <c r="B36" s="246">
        <v>5.5</v>
      </c>
      <c r="C36" s="198" t="s">
        <v>20</v>
      </c>
      <c r="D36" s="70" t="s">
        <v>467</v>
      </c>
      <c r="E36" s="110"/>
      <c r="F36" s="268">
        <v>0</v>
      </c>
      <c r="G36" s="269"/>
      <c r="H36" s="255">
        <f>H33*F36</f>
        <v>0</v>
      </c>
      <c r="I36" s="256"/>
      <c r="J36" s="189" t="s">
        <v>469</v>
      </c>
      <c r="K36" s="115" t="s">
        <v>470</v>
      </c>
      <c r="L36" s="186"/>
      <c r="M36" s="284"/>
      <c r="N36" s="145"/>
      <c r="O36" s="292"/>
      <c r="P36" s="145"/>
      <c r="Q36" s="284"/>
      <c r="R36" s="145"/>
      <c r="S36" s="284"/>
      <c r="T36" s="145"/>
      <c r="U36" s="296"/>
      <c r="V36" s="145"/>
      <c r="W36" s="157">
        <f t="shared" si="7"/>
        <v>0</v>
      </c>
      <c r="X36" s="303"/>
      <c r="Y36" s="176"/>
      <c r="Z36" s="303"/>
      <c r="AA36" s="176"/>
      <c r="AB36" s="303"/>
      <c r="AC36" s="177"/>
      <c r="AD36" s="303"/>
      <c r="AE36" s="177"/>
      <c r="AF36" s="303"/>
      <c r="AG36" s="177"/>
      <c r="AH36" s="69">
        <f>Y36+AA36+AC36+(AE36/Baasandmed!$D$13)+AG36</f>
        <v>0</v>
      </c>
      <c r="AI36" s="113"/>
      <c r="AJ36" s="68" t="s">
        <v>470</v>
      </c>
      <c r="AK36" s="315">
        <v>0</v>
      </c>
      <c r="AL36" s="315">
        <v>0</v>
      </c>
      <c r="AM36" s="227">
        <f t="shared" ref="AM36:AM67" si="8">AK36+AL36</f>
        <v>0</v>
      </c>
    </row>
    <row r="37" spans="2:39" s="83" customFormat="1" ht="48" hidden="1" x14ac:dyDescent="0.25">
      <c r="B37" s="246">
        <v>5.6</v>
      </c>
      <c r="C37" s="198" t="s">
        <v>20</v>
      </c>
      <c r="D37" s="70" t="s">
        <v>472</v>
      </c>
      <c r="E37" s="110" t="s">
        <v>514</v>
      </c>
      <c r="F37" s="268">
        <v>1</v>
      </c>
      <c r="G37" s="268">
        <v>1</v>
      </c>
      <c r="H37" s="257">
        <f>H33*F37</f>
        <v>4431.75</v>
      </c>
      <c r="I37" s="256">
        <f>I33*G37</f>
        <v>559863.02500000002</v>
      </c>
      <c r="J37" s="189" t="s">
        <v>469</v>
      </c>
      <c r="K37" s="115" t="s">
        <v>528</v>
      </c>
      <c r="L37" s="186"/>
      <c r="M37" s="283"/>
      <c r="N37" s="145"/>
      <c r="O37" s="292"/>
      <c r="P37" s="145"/>
      <c r="Q37" s="284"/>
      <c r="R37" s="145"/>
      <c r="S37" s="295">
        <v>0</v>
      </c>
      <c r="T37" s="145">
        <f>S37*I37</f>
        <v>0</v>
      </c>
      <c r="U37" s="296">
        <v>0</v>
      </c>
      <c r="V37" s="145">
        <f>(U37*(I37/10))*Baasandmed!$D$8</f>
        <v>0</v>
      </c>
      <c r="W37" s="157">
        <f t="shared" si="7"/>
        <v>0</v>
      </c>
      <c r="X37" s="303"/>
      <c r="Y37" s="176"/>
      <c r="Z37" s="303"/>
      <c r="AA37" s="176"/>
      <c r="AB37" s="303"/>
      <c r="AC37" s="177"/>
      <c r="AD37" s="303"/>
      <c r="AE37" s="177"/>
      <c r="AF37" s="303"/>
      <c r="AG37" s="177"/>
      <c r="AH37" s="69">
        <f>Y37+AA37+AC37+(AE37/Baasandmed!$D$13)+AG37</f>
        <v>0</v>
      </c>
      <c r="AI37" s="113"/>
      <c r="AJ37" s="68" t="s">
        <v>529</v>
      </c>
      <c r="AK37" s="315">
        <v>3</v>
      </c>
      <c r="AL37" s="315">
        <v>3</v>
      </c>
      <c r="AM37" s="227">
        <f t="shared" si="8"/>
        <v>6</v>
      </c>
    </row>
    <row r="38" spans="2:39" s="83" customFormat="1" ht="38.25" hidden="1" x14ac:dyDescent="0.25">
      <c r="B38" s="246">
        <v>5.7</v>
      </c>
      <c r="C38" s="198" t="s">
        <v>20</v>
      </c>
      <c r="D38" s="133" t="s">
        <v>476</v>
      </c>
      <c r="E38" s="191" t="s">
        <v>492</v>
      </c>
      <c r="F38" s="270"/>
      <c r="G38" s="270"/>
      <c r="H38" s="258"/>
      <c r="I38" s="259"/>
      <c r="J38" s="190" t="s">
        <v>469</v>
      </c>
      <c r="K38" s="135" t="s">
        <v>470</v>
      </c>
      <c r="L38" s="186"/>
      <c r="M38" s="286"/>
      <c r="N38" s="144"/>
      <c r="O38" s="291"/>
      <c r="P38" s="144"/>
      <c r="Q38" s="291"/>
      <c r="R38" s="144"/>
      <c r="S38" s="285"/>
      <c r="T38" s="146"/>
      <c r="U38" s="296"/>
      <c r="V38" s="145"/>
      <c r="W38" s="157">
        <f t="shared" si="7"/>
        <v>0</v>
      </c>
      <c r="X38" s="303"/>
      <c r="Y38" s="176"/>
      <c r="Z38" s="303"/>
      <c r="AA38" s="176"/>
      <c r="AB38" s="303"/>
      <c r="AC38" s="177"/>
      <c r="AD38" s="303"/>
      <c r="AE38" s="177"/>
      <c r="AF38" s="303"/>
      <c r="AG38" s="177"/>
      <c r="AH38" s="69">
        <f>Y38+AA38+AC38+(AE38/Baasandmed!$D$13)+AG38</f>
        <v>0</v>
      </c>
      <c r="AI38" s="113"/>
      <c r="AJ38" s="136" t="s">
        <v>519</v>
      </c>
      <c r="AK38" s="316">
        <v>1</v>
      </c>
      <c r="AL38" s="320">
        <v>2</v>
      </c>
      <c r="AM38" s="228">
        <f t="shared" si="8"/>
        <v>3</v>
      </c>
    </row>
    <row r="39" spans="2:39" ht="157.5" thickBot="1" x14ac:dyDescent="0.3">
      <c r="B39" s="246">
        <v>6.1</v>
      </c>
      <c r="C39" s="139" t="s">
        <v>155</v>
      </c>
      <c r="D39" s="207" t="s">
        <v>209</v>
      </c>
      <c r="E39" s="209" t="s">
        <v>258</v>
      </c>
      <c r="F39" s="274"/>
      <c r="G39" s="275">
        <v>0.8</v>
      </c>
      <c r="H39" s="253"/>
      <c r="I39" s="254">
        <f>(Baasandmed!$L$3*Baasandmed!$M$3+Baasandmed!$L$10*Baasandmed!$M$10+Baasandmed!$L$14*Baasandmed!$M$14+Baasandmed!$L$17*Baasandmed!$M$17+Baasandmed!$L$19*Baasandmed!$M$19+Baasandmed!$L$20*Baasandmed!$M$20+Baasandmed!$L$25)*G39</f>
        <v>471463.60000000003</v>
      </c>
      <c r="J39" s="188" t="s">
        <v>450</v>
      </c>
      <c r="K39" s="187" t="s">
        <v>530</v>
      </c>
      <c r="L39" s="187" t="s">
        <v>531</v>
      </c>
      <c r="M39" s="281"/>
      <c r="N39" s="143"/>
      <c r="O39" s="290"/>
      <c r="P39" s="143"/>
      <c r="Q39" s="281"/>
      <c r="R39" s="143"/>
      <c r="S39" s="281"/>
      <c r="T39" s="143"/>
      <c r="U39" s="281"/>
      <c r="V39" s="143"/>
      <c r="W39" s="158"/>
      <c r="X39" s="300">
        <v>0</v>
      </c>
      <c r="Y39" s="213">
        <f>X39*Baasandmed!$D$10</f>
        <v>0</v>
      </c>
      <c r="Z39" s="300">
        <v>160</v>
      </c>
      <c r="AA39" s="251">
        <f>Z39*Baasandmed!$D$10</f>
        <v>10400</v>
      </c>
      <c r="AB39" s="307">
        <v>2500</v>
      </c>
      <c r="AC39" s="336">
        <f>AB39*Baasandmed!$D$7</f>
        <v>32650</v>
      </c>
      <c r="AD39" s="348">
        <v>2000</v>
      </c>
      <c r="AE39" s="349">
        <f>AD39*Baasandmed!$D$10</f>
        <v>130000</v>
      </c>
      <c r="AF39" s="338">
        <v>150</v>
      </c>
      <c r="AG39" s="170">
        <f>AF39*Baasandmed!$D$10</f>
        <v>9750</v>
      </c>
      <c r="AH39" s="171">
        <f>Y39+AA39+AC39+(AE39/Baasandmed!$D$13)+AG39</f>
        <v>78800</v>
      </c>
      <c r="AI39" s="180">
        <f>SUM(W39:W45)-AH39</f>
        <v>638093.40625200002</v>
      </c>
      <c r="AJ39" s="167" t="s">
        <v>522</v>
      </c>
      <c r="AK39" s="313">
        <v>3</v>
      </c>
      <c r="AL39" s="319">
        <v>2</v>
      </c>
      <c r="AM39" s="227">
        <f t="shared" si="8"/>
        <v>5</v>
      </c>
    </row>
    <row r="40" spans="2:39" ht="72.75" hidden="1" x14ac:dyDescent="0.25">
      <c r="B40" s="246">
        <v>6.2</v>
      </c>
      <c r="C40" s="51" t="s">
        <v>155</v>
      </c>
      <c r="D40" s="70" t="s">
        <v>454</v>
      </c>
      <c r="E40" s="110" t="s">
        <v>455</v>
      </c>
      <c r="F40" s="268">
        <v>0.95</v>
      </c>
      <c r="G40" s="268">
        <v>0.95</v>
      </c>
      <c r="H40" s="255">
        <f>Baasandmed!$K$3*F40</f>
        <v>4431.75</v>
      </c>
      <c r="I40" s="256">
        <f>I39*G40</f>
        <v>447890.42</v>
      </c>
      <c r="J40" s="189" t="s">
        <v>450</v>
      </c>
      <c r="K40" s="186" t="s">
        <v>532</v>
      </c>
      <c r="L40" s="186" t="s">
        <v>533</v>
      </c>
      <c r="M40" s="286">
        <v>0</v>
      </c>
      <c r="N40" s="144">
        <f>((M40/Baasandmed!$N$3)*Baasandmed!$P$3)+((M40/Baasandmed!$N$11)*Baasandmed!$P$11)+((M40/Baasandmed!$N$12)*Baasandmed!$P$12)+((M40/Baasandmed!$N$17)*Baasandmed!$P$17)</f>
        <v>0</v>
      </c>
      <c r="O40" s="291">
        <v>0</v>
      </c>
      <c r="P40" s="144">
        <f>(SUM(Baasandmed!$G$30:$G$63))*O40</f>
        <v>0</v>
      </c>
      <c r="Q40" s="291">
        <v>0</v>
      </c>
      <c r="R40" s="144">
        <f>(Baasandmed!$G$66+Baasandmed!$G$67+Baasandmed!$G$71+Baasandmed!$G$72+Baasandmed!$G$76+Baasandmed!$G$77+Baasandmed!$G$81+Baasandmed!$G$82+Baasandmed!$G$86+Baasandmed!$G$87+Baasandmed!$G$91+Baasandmed!$G$92+Baasandmed!$G$96+Baasandmed!$G$97+Baasandmed!$G$101+Baasandmed!$G$102)*Majandusanalüüs!Q40</f>
        <v>0</v>
      </c>
      <c r="S40" s="283"/>
      <c r="T40" s="144"/>
      <c r="U40" s="296">
        <v>1.5</v>
      </c>
      <c r="V40" s="145">
        <f>(U40*(I40/10))*Baasandmed!$D$4</f>
        <v>658398.91740000003</v>
      </c>
      <c r="W40" s="157">
        <f>N40+P40+R40+T40+V40</f>
        <v>658398.91740000003</v>
      </c>
      <c r="X40" s="303"/>
      <c r="Y40" s="176"/>
      <c r="Z40" s="303"/>
      <c r="AA40" s="176"/>
      <c r="AB40" s="303"/>
      <c r="AC40" s="177"/>
      <c r="AD40" s="342"/>
      <c r="AE40" s="343"/>
      <c r="AF40" s="303"/>
      <c r="AG40" s="177"/>
      <c r="AH40" s="69">
        <f>Y40+AA40+AC40+(AE40/Baasandmed!$D$13)+AG40</f>
        <v>0</v>
      </c>
      <c r="AI40" s="113"/>
      <c r="AJ40" s="71" t="s">
        <v>534</v>
      </c>
      <c r="AK40" s="314">
        <v>3</v>
      </c>
      <c r="AL40" s="315">
        <v>2</v>
      </c>
      <c r="AM40" s="227">
        <f t="shared" si="8"/>
        <v>5</v>
      </c>
    </row>
    <row r="41" spans="2:39" ht="36" hidden="1" x14ac:dyDescent="0.25">
      <c r="B41" s="246">
        <v>6.3</v>
      </c>
      <c r="C41" s="51" t="s">
        <v>155</v>
      </c>
      <c r="D41" s="70" t="s">
        <v>459</v>
      </c>
      <c r="E41" s="110" t="s">
        <v>460</v>
      </c>
      <c r="F41" s="268">
        <v>0.2</v>
      </c>
      <c r="G41" s="268">
        <v>0.6</v>
      </c>
      <c r="H41" s="255">
        <f>H40*F41</f>
        <v>886.35</v>
      </c>
      <c r="I41" s="256">
        <f>I40*G41</f>
        <v>268734.25199999998</v>
      </c>
      <c r="J41" s="189" t="s">
        <v>450</v>
      </c>
      <c r="K41" s="115" t="s">
        <v>485</v>
      </c>
      <c r="L41" s="186" t="s">
        <v>470</v>
      </c>
      <c r="M41" s="283"/>
      <c r="N41" s="145"/>
      <c r="O41" s="292"/>
      <c r="P41" s="145"/>
      <c r="Q41" s="284"/>
      <c r="R41" s="145"/>
      <c r="S41" s="284"/>
      <c r="T41" s="145"/>
      <c r="U41" s="296">
        <v>0</v>
      </c>
      <c r="V41" s="145">
        <f>(U41*(I41/10))*Baasandmed!$D$7</f>
        <v>0</v>
      </c>
      <c r="W41" s="157">
        <f t="shared" ref="W41:W45" si="9">N41+P41+R41+T41+V41</f>
        <v>0</v>
      </c>
      <c r="X41" s="303"/>
      <c r="Y41" s="176"/>
      <c r="Z41" s="303"/>
      <c r="AA41" s="176"/>
      <c r="AB41" s="303"/>
      <c r="AC41" s="177"/>
      <c r="AD41" s="303"/>
      <c r="AE41" s="177"/>
      <c r="AF41" s="303"/>
      <c r="AG41" s="177"/>
      <c r="AH41" s="69">
        <f>Y41+AA41+AC41+(AE41/Baasandmed!$D$13)+AG41</f>
        <v>0</v>
      </c>
      <c r="AI41" s="113"/>
      <c r="AJ41" s="68" t="s">
        <v>462</v>
      </c>
      <c r="AK41" s="315">
        <v>1</v>
      </c>
      <c r="AL41" s="315">
        <v>2</v>
      </c>
      <c r="AM41" s="227">
        <f t="shared" si="8"/>
        <v>3</v>
      </c>
    </row>
    <row r="42" spans="2:39" ht="84.75" hidden="1" x14ac:dyDescent="0.25">
      <c r="B42" s="246">
        <v>6.4</v>
      </c>
      <c r="C42" s="51" t="s">
        <v>155</v>
      </c>
      <c r="D42" s="70" t="s">
        <v>463</v>
      </c>
      <c r="E42" s="110" t="s">
        <v>498</v>
      </c>
      <c r="F42" s="268">
        <v>1</v>
      </c>
      <c r="G42" s="268">
        <v>1</v>
      </c>
      <c r="H42" s="255">
        <f>H40*F42</f>
        <v>4431.75</v>
      </c>
      <c r="I42" s="256">
        <f>I40*G42</f>
        <v>447890.42</v>
      </c>
      <c r="J42" s="189" t="s">
        <v>450</v>
      </c>
      <c r="K42" s="115" t="s">
        <v>527</v>
      </c>
      <c r="L42" s="186" t="s">
        <v>535</v>
      </c>
      <c r="M42" s="283"/>
      <c r="N42" s="145"/>
      <c r="O42" s="292"/>
      <c r="P42" s="145"/>
      <c r="Q42" s="284"/>
      <c r="R42" s="145"/>
      <c r="S42" s="284"/>
      <c r="T42" s="145"/>
      <c r="U42" s="296">
        <v>0.1</v>
      </c>
      <c r="V42" s="145">
        <f>(U42*(I42/10))*Baasandmed!$D$7</f>
        <v>58494.488852000002</v>
      </c>
      <c r="W42" s="157">
        <f t="shared" si="9"/>
        <v>58494.488852000002</v>
      </c>
      <c r="X42" s="303"/>
      <c r="Y42" s="176"/>
      <c r="Z42" s="303"/>
      <c r="AA42" s="176"/>
      <c r="AB42" s="303"/>
      <c r="AC42" s="177"/>
      <c r="AD42" s="303"/>
      <c r="AE42" s="177"/>
      <c r="AF42" s="303"/>
      <c r="AG42" s="177"/>
      <c r="AH42" s="69">
        <f>Y42+AA42+AC42+(AE42/Baasandmed!$D$13)+AG42</f>
        <v>0</v>
      </c>
      <c r="AI42" s="113"/>
      <c r="AJ42" s="71" t="s">
        <v>466</v>
      </c>
      <c r="AK42" s="315">
        <v>3</v>
      </c>
      <c r="AL42" s="315">
        <v>2</v>
      </c>
      <c r="AM42" s="227">
        <f t="shared" si="8"/>
        <v>5</v>
      </c>
    </row>
    <row r="43" spans="2:39" ht="36" hidden="1" x14ac:dyDescent="0.25">
      <c r="B43" s="246">
        <v>6.5</v>
      </c>
      <c r="C43" s="51" t="s">
        <v>155</v>
      </c>
      <c r="D43" s="70" t="s">
        <v>467</v>
      </c>
      <c r="E43" s="110"/>
      <c r="F43" s="268">
        <v>0</v>
      </c>
      <c r="G43" s="269"/>
      <c r="H43" s="255">
        <f>H40*F43</f>
        <v>0</v>
      </c>
      <c r="I43" s="256"/>
      <c r="J43" s="189" t="s">
        <v>469</v>
      </c>
      <c r="K43" s="115" t="s">
        <v>470</v>
      </c>
      <c r="L43" s="186"/>
      <c r="M43" s="284"/>
      <c r="N43" s="145"/>
      <c r="O43" s="292"/>
      <c r="P43" s="145"/>
      <c r="Q43" s="284"/>
      <c r="R43" s="145"/>
      <c r="S43" s="284"/>
      <c r="T43" s="145"/>
      <c r="U43" s="296"/>
      <c r="V43" s="145"/>
      <c r="W43" s="157">
        <f t="shared" si="9"/>
        <v>0</v>
      </c>
      <c r="X43" s="303"/>
      <c r="Y43" s="176"/>
      <c r="Z43" s="303"/>
      <c r="AA43" s="176"/>
      <c r="AB43" s="303"/>
      <c r="AC43" s="177"/>
      <c r="AD43" s="303"/>
      <c r="AE43" s="177"/>
      <c r="AF43" s="303"/>
      <c r="AG43" s="177"/>
      <c r="AH43" s="69">
        <f>Y43+AA43+AC43+(AE43/Baasandmed!$D$13)+AG43</f>
        <v>0</v>
      </c>
      <c r="AI43" s="113"/>
      <c r="AJ43" s="68" t="s">
        <v>536</v>
      </c>
      <c r="AK43" s="315">
        <v>1</v>
      </c>
      <c r="AL43" s="315">
        <v>2</v>
      </c>
      <c r="AM43" s="227">
        <f t="shared" si="8"/>
        <v>3</v>
      </c>
    </row>
    <row r="44" spans="2:39" ht="48" hidden="1" x14ac:dyDescent="0.25">
      <c r="B44" s="246">
        <v>6.6</v>
      </c>
      <c r="C44" s="51" t="s">
        <v>155</v>
      </c>
      <c r="D44" s="70" t="s">
        <v>472</v>
      </c>
      <c r="E44" s="110" t="s">
        <v>514</v>
      </c>
      <c r="F44" s="268">
        <v>1</v>
      </c>
      <c r="G44" s="268">
        <v>1</v>
      </c>
      <c r="H44" s="257">
        <f>H40*F44</f>
        <v>4431.75</v>
      </c>
      <c r="I44" s="256">
        <f>I40*G44</f>
        <v>447890.42</v>
      </c>
      <c r="J44" s="189" t="s">
        <v>469</v>
      </c>
      <c r="K44" s="115" t="s">
        <v>528</v>
      </c>
      <c r="L44" s="186"/>
      <c r="M44" s="283"/>
      <c r="N44" s="145"/>
      <c r="O44" s="292"/>
      <c r="P44" s="145"/>
      <c r="Q44" s="284"/>
      <c r="R44" s="145"/>
      <c r="S44" s="295">
        <v>0</v>
      </c>
      <c r="T44" s="145">
        <f>S44*I44</f>
        <v>0</v>
      </c>
      <c r="U44" s="296">
        <v>0</v>
      </c>
      <c r="V44" s="145">
        <f>(U44*(I44/10))*Baasandmed!$D$8</f>
        <v>0</v>
      </c>
      <c r="W44" s="157">
        <f t="shared" si="9"/>
        <v>0</v>
      </c>
      <c r="X44" s="303"/>
      <c r="Y44" s="176"/>
      <c r="Z44" s="303"/>
      <c r="AA44" s="176"/>
      <c r="AB44" s="303"/>
      <c r="AC44" s="177"/>
      <c r="AD44" s="303"/>
      <c r="AE44" s="177"/>
      <c r="AF44" s="303"/>
      <c r="AG44" s="177"/>
      <c r="AH44" s="69">
        <f>Y44+AA44+AC44+(AE44/Baasandmed!$D$13)+AG44</f>
        <v>0</v>
      </c>
      <c r="AI44" s="113"/>
      <c r="AJ44" s="68" t="s">
        <v>529</v>
      </c>
      <c r="AK44" s="315">
        <v>3</v>
      </c>
      <c r="AL44" s="315">
        <v>2</v>
      </c>
      <c r="AM44" s="227">
        <f t="shared" si="8"/>
        <v>5</v>
      </c>
    </row>
    <row r="45" spans="2:39" ht="38.25" hidden="1" x14ac:dyDescent="0.25">
      <c r="B45" s="246">
        <v>6.7</v>
      </c>
      <c r="C45" s="141" t="s">
        <v>155</v>
      </c>
      <c r="D45" s="133" t="s">
        <v>476</v>
      </c>
      <c r="E45" s="191" t="s">
        <v>492</v>
      </c>
      <c r="F45" s="270"/>
      <c r="G45" s="270"/>
      <c r="H45" s="258"/>
      <c r="I45" s="259"/>
      <c r="J45" s="190" t="s">
        <v>469</v>
      </c>
      <c r="K45" s="135" t="s">
        <v>537</v>
      </c>
      <c r="L45" s="202"/>
      <c r="M45" s="287"/>
      <c r="N45" s="203"/>
      <c r="O45" s="293"/>
      <c r="P45" s="203"/>
      <c r="Q45" s="293"/>
      <c r="R45" s="203"/>
      <c r="S45" s="285"/>
      <c r="T45" s="146"/>
      <c r="U45" s="298"/>
      <c r="V45" s="147"/>
      <c r="W45" s="204">
        <f t="shared" si="9"/>
        <v>0</v>
      </c>
      <c r="X45" s="304"/>
      <c r="Y45" s="178"/>
      <c r="Z45" s="304"/>
      <c r="AA45" s="178"/>
      <c r="AB45" s="304"/>
      <c r="AC45" s="179"/>
      <c r="AD45" s="304"/>
      <c r="AE45" s="179"/>
      <c r="AF45" s="304"/>
      <c r="AG45" s="179"/>
      <c r="AH45" s="69">
        <f>Y45+AA45+AC45+(AE45/Baasandmed!$D$13)+AG45</f>
        <v>0</v>
      </c>
      <c r="AI45" s="142"/>
      <c r="AJ45" s="136" t="s">
        <v>519</v>
      </c>
      <c r="AK45" s="316">
        <v>1</v>
      </c>
      <c r="AL45" s="320">
        <v>2</v>
      </c>
      <c r="AM45" s="228">
        <f t="shared" si="8"/>
        <v>3</v>
      </c>
    </row>
    <row r="46" spans="2:39" ht="97.5" thickBot="1" x14ac:dyDescent="0.3">
      <c r="B46" s="246">
        <v>7.1</v>
      </c>
      <c r="C46" s="197" t="s">
        <v>407</v>
      </c>
      <c r="D46" s="207" t="s">
        <v>209</v>
      </c>
      <c r="E46" s="215" t="s">
        <v>321</v>
      </c>
      <c r="F46" s="266"/>
      <c r="G46" s="267">
        <v>1</v>
      </c>
      <c r="H46" s="253"/>
      <c r="I46" s="254">
        <f>Baasandmed!$L$26*G46</f>
        <v>920405</v>
      </c>
      <c r="J46" s="188" t="s">
        <v>450</v>
      </c>
      <c r="K46" s="187" t="s">
        <v>538</v>
      </c>
      <c r="L46" s="187" t="s">
        <v>539</v>
      </c>
      <c r="M46" s="281"/>
      <c r="N46" s="143"/>
      <c r="O46" s="290"/>
      <c r="P46" s="143"/>
      <c r="Q46" s="281"/>
      <c r="R46" s="143"/>
      <c r="S46" s="281"/>
      <c r="T46" s="143"/>
      <c r="U46" s="281"/>
      <c r="V46" s="143"/>
      <c r="W46" s="158"/>
      <c r="X46" s="300">
        <v>0</v>
      </c>
      <c r="Y46" s="213">
        <f>X46*Baasandmed!$D$10</f>
        <v>0</v>
      </c>
      <c r="Z46" s="300">
        <v>300</v>
      </c>
      <c r="AA46" s="251">
        <f>Z46*Baasandmed!$D$10</f>
        <v>19500</v>
      </c>
      <c r="AB46" s="307">
        <v>2500</v>
      </c>
      <c r="AC46" s="336">
        <f>AB46*Baasandmed!$D$7</f>
        <v>32650</v>
      </c>
      <c r="AD46" s="348">
        <v>10000</v>
      </c>
      <c r="AE46" s="349">
        <f>AD46*Baasandmed!$D$10</f>
        <v>650000</v>
      </c>
      <c r="AF46" s="338">
        <v>200</v>
      </c>
      <c r="AG46" s="170">
        <f>AF46*Baasandmed!$D$10</f>
        <v>13000</v>
      </c>
      <c r="AH46" s="171">
        <f>Y46+AA46+AC46+(AE46/Baasandmed!$D$13)+AG46</f>
        <v>195150</v>
      </c>
      <c r="AI46" s="180">
        <f>SUM(W46:W52)-AH46</f>
        <v>1821006.3565500001</v>
      </c>
      <c r="AJ46" s="167" t="s">
        <v>540</v>
      </c>
      <c r="AK46" s="313">
        <v>3</v>
      </c>
      <c r="AL46" s="319">
        <v>2</v>
      </c>
      <c r="AM46" s="227">
        <f t="shared" si="8"/>
        <v>5</v>
      </c>
    </row>
    <row r="47" spans="2:39" ht="57" hidden="1" x14ac:dyDescent="0.25">
      <c r="B47" s="246">
        <v>7.2</v>
      </c>
      <c r="C47" s="198" t="s">
        <v>407</v>
      </c>
      <c r="D47" s="70" t="s">
        <v>454</v>
      </c>
      <c r="E47" s="110" t="s">
        <v>455</v>
      </c>
      <c r="F47" s="268">
        <v>0.95</v>
      </c>
      <c r="G47" s="268">
        <v>0.95</v>
      </c>
      <c r="H47" s="255">
        <f>Baasandmed!$K$26*F47</f>
        <v>14129.349999999999</v>
      </c>
      <c r="I47" s="256">
        <f>I46*G47</f>
        <v>874384.75</v>
      </c>
      <c r="J47" s="189" t="s">
        <v>450</v>
      </c>
      <c r="K47" s="186" t="s">
        <v>541</v>
      </c>
      <c r="L47" s="186" t="s">
        <v>542</v>
      </c>
      <c r="M47" s="286">
        <v>0</v>
      </c>
      <c r="N47" s="144">
        <f>((M47/Baasandmed!$N$3)*Baasandmed!$P$3)+((M47/Baasandmed!$N$11)*Baasandmed!$P$11)+((M47/Baasandmed!$N$12)*Baasandmed!$P$12)+((M47/Baasandmed!$N$17)*Baasandmed!$P$17)</f>
        <v>0</v>
      </c>
      <c r="O47" s="291">
        <v>0</v>
      </c>
      <c r="P47" s="144">
        <f>(SUM(Baasandmed!$G$30:$G$63))*O47</f>
        <v>0</v>
      </c>
      <c r="Q47" s="291">
        <v>0</v>
      </c>
      <c r="R47" s="144">
        <f>(Baasandmed!$G$66+Baasandmed!$G$67+Baasandmed!$G$71+Baasandmed!$G$72+Baasandmed!$G$76+Baasandmed!$G$77+Baasandmed!$G$81+Baasandmed!$G$82+Baasandmed!$G$86+Baasandmed!$G$87+Baasandmed!$G$91+Baasandmed!$G$92+Baasandmed!$G$96+Baasandmed!$G$97+Baasandmed!$G$101+Baasandmed!$G$102)*Majandusanalüüs!Q47</f>
        <v>0</v>
      </c>
      <c r="S47" s="283"/>
      <c r="T47" s="144"/>
      <c r="U47" s="296">
        <v>1.5</v>
      </c>
      <c r="V47" s="145">
        <f>(U47*(I47/10))*Baasandmed!$D$4</f>
        <v>1285345.5825000003</v>
      </c>
      <c r="W47" s="157">
        <f>N47+P47+R47+T47+V47</f>
        <v>1285345.5825000003</v>
      </c>
      <c r="X47" s="303"/>
      <c r="Y47" s="176"/>
      <c r="Z47" s="303"/>
      <c r="AA47" s="176"/>
      <c r="AB47" s="303"/>
      <c r="AC47" s="177"/>
      <c r="AD47" s="342"/>
      <c r="AE47" s="343"/>
      <c r="AF47" s="303"/>
      <c r="AG47" s="177"/>
      <c r="AH47" s="69">
        <f>Y47+AA47+AC47+(AE47/Baasandmed!$D$13)+AG47</f>
        <v>0</v>
      </c>
      <c r="AI47" s="113"/>
      <c r="AJ47" s="71" t="s">
        <v>543</v>
      </c>
      <c r="AK47" s="314">
        <v>3</v>
      </c>
      <c r="AL47" s="315">
        <v>2</v>
      </c>
      <c r="AM47" s="227">
        <f t="shared" si="8"/>
        <v>5</v>
      </c>
    </row>
    <row r="48" spans="2:39" ht="36" hidden="1" x14ac:dyDescent="0.25">
      <c r="B48" s="246">
        <v>7.3</v>
      </c>
      <c r="C48" s="198" t="s">
        <v>407</v>
      </c>
      <c r="D48" s="70" t="s">
        <v>459</v>
      </c>
      <c r="E48" s="110" t="s">
        <v>460</v>
      </c>
      <c r="F48" s="268">
        <v>0.2</v>
      </c>
      <c r="G48" s="268">
        <v>0.6</v>
      </c>
      <c r="H48" s="255">
        <f>H47*F48</f>
        <v>2825.87</v>
      </c>
      <c r="I48" s="256">
        <f>I47*G48</f>
        <v>524630.85</v>
      </c>
      <c r="J48" s="189" t="s">
        <v>450</v>
      </c>
      <c r="K48" s="115" t="s">
        <v>485</v>
      </c>
      <c r="L48" s="186" t="s">
        <v>470</v>
      </c>
      <c r="M48" s="283"/>
      <c r="N48" s="145"/>
      <c r="O48" s="292"/>
      <c r="P48" s="145"/>
      <c r="Q48" s="284"/>
      <c r="R48" s="145"/>
      <c r="S48" s="284"/>
      <c r="T48" s="145"/>
      <c r="U48" s="296">
        <v>0.5</v>
      </c>
      <c r="V48" s="145">
        <f>(U48*(I48/10))*Baasandmed!$D$7</f>
        <v>342583.94504999998</v>
      </c>
      <c r="W48" s="157">
        <f t="shared" ref="W48:W52" si="10">N48+P48+R48+T48+V48</f>
        <v>342583.94504999998</v>
      </c>
      <c r="X48" s="303"/>
      <c r="Y48" s="176"/>
      <c r="Z48" s="303"/>
      <c r="AA48" s="176"/>
      <c r="AB48" s="303"/>
      <c r="AC48" s="177"/>
      <c r="AD48" s="303"/>
      <c r="AE48" s="177"/>
      <c r="AF48" s="303"/>
      <c r="AG48" s="177"/>
      <c r="AH48" s="69">
        <f>Y48+AA48+AC48+(AE48/Baasandmed!$D$13)+AG48</f>
        <v>0</v>
      </c>
      <c r="AI48" s="113"/>
      <c r="AJ48" s="68" t="s">
        <v>462</v>
      </c>
      <c r="AK48" s="315">
        <v>1</v>
      </c>
      <c r="AL48" s="315">
        <v>2</v>
      </c>
      <c r="AM48" s="227">
        <f t="shared" si="8"/>
        <v>3</v>
      </c>
    </row>
    <row r="49" spans="2:39" ht="45.75" hidden="1" x14ac:dyDescent="0.25">
      <c r="B49" s="246">
        <v>7.4</v>
      </c>
      <c r="C49" s="198" t="s">
        <v>407</v>
      </c>
      <c r="D49" s="70" t="s">
        <v>463</v>
      </c>
      <c r="E49" s="110" t="s">
        <v>498</v>
      </c>
      <c r="F49" s="268">
        <v>1</v>
      </c>
      <c r="G49" s="268">
        <v>1</v>
      </c>
      <c r="H49" s="255">
        <f>H47*F49</f>
        <v>14129.349999999999</v>
      </c>
      <c r="I49" s="256">
        <f>I47*G49</f>
        <v>874384.75</v>
      </c>
      <c r="J49" s="189" t="s">
        <v>450</v>
      </c>
      <c r="K49" s="115" t="s">
        <v>470</v>
      </c>
      <c r="L49" s="186"/>
      <c r="M49" s="283"/>
      <c r="N49" s="145"/>
      <c r="O49" s="292"/>
      <c r="P49" s="145"/>
      <c r="Q49" s="284"/>
      <c r="R49" s="145"/>
      <c r="S49" s="284"/>
      <c r="T49" s="145"/>
      <c r="U49" s="296">
        <v>0</v>
      </c>
      <c r="V49" s="145">
        <f>(U49*(I49/10))*Baasandmed!$D$7</f>
        <v>0</v>
      </c>
      <c r="W49" s="157">
        <f t="shared" si="10"/>
        <v>0</v>
      </c>
      <c r="X49" s="303"/>
      <c r="Y49" s="176"/>
      <c r="Z49" s="303"/>
      <c r="AA49" s="176"/>
      <c r="AB49" s="303"/>
      <c r="AC49" s="177"/>
      <c r="AD49" s="303"/>
      <c r="AE49" s="177"/>
      <c r="AF49" s="303"/>
      <c r="AG49" s="177"/>
      <c r="AH49" s="69">
        <f>Y49+AA49+AC49+(AE49/Baasandmed!$D$13)+AG49</f>
        <v>0</v>
      </c>
      <c r="AI49" s="113"/>
      <c r="AJ49" s="71" t="s">
        <v>466</v>
      </c>
      <c r="AK49" s="315">
        <v>3</v>
      </c>
      <c r="AL49" s="315">
        <v>2</v>
      </c>
      <c r="AM49" s="227">
        <f t="shared" si="8"/>
        <v>5</v>
      </c>
    </row>
    <row r="50" spans="2:39" ht="36" hidden="1" x14ac:dyDescent="0.25">
      <c r="B50" s="246">
        <v>7.5</v>
      </c>
      <c r="C50" s="198" t="s">
        <v>407</v>
      </c>
      <c r="D50" s="70" t="s">
        <v>467</v>
      </c>
      <c r="E50" s="110"/>
      <c r="F50" s="268">
        <v>0</v>
      </c>
      <c r="G50" s="269"/>
      <c r="H50" s="255">
        <f>H47*F50</f>
        <v>0</v>
      </c>
      <c r="I50" s="256"/>
      <c r="J50" s="189" t="s">
        <v>469</v>
      </c>
      <c r="K50" s="115" t="s">
        <v>470</v>
      </c>
      <c r="L50" s="186"/>
      <c r="M50" s="284"/>
      <c r="N50" s="145"/>
      <c r="O50" s="292"/>
      <c r="P50" s="145"/>
      <c r="Q50" s="284"/>
      <c r="R50" s="145"/>
      <c r="S50" s="284"/>
      <c r="T50" s="145"/>
      <c r="U50" s="296"/>
      <c r="V50" s="145"/>
      <c r="W50" s="157">
        <f t="shared" si="10"/>
        <v>0</v>
      </c>
      <c r="X50" s="303"/>
      <c r="Y50" s="176"/>
      <c r="Z50" s="303"/>
      <c r="AA50" s="176"/>
      <c r="AB50" s="303"/>
      <c r="AC50" s="177"/>
      <c r="AD50" s="303"/>
      <c r="AE50" s="177"/>
      <c r="AF50" s="303"/>
      <c r="AG50" s="177"/>
      <c r="AH50" s="69">
        <f>Y50+AA50+AC50+(AE50/Baasandmed!$D$13)+AG50</f>
        <v>0</v>
      </c>
      <c r="AI50" s="113"/>
      <c r="AJ50" s="68" t="s">
        <v>536</v>
      </c>
      <c r="AK50" s="315">
        <v>1</v>
      </c>
      <c r="AL50" s="315">
        <v>2</v>
      </c>
      <c r="AM50" s="227">
        <f t="shared" si="8"/>
        <v>3</v>
      </c>
    </row>
    <row r="51" spans="2:39" ht="48" hidden="1" x14ac:dyDescent="0.25">
      <c r="B51" s="246">
        <v>7.6</v>
      </c>
      <c r="C51" s="198" t="s">
        <v>407</v>
      </c>
      <c r="D51" s="70" t="s">
        <v>472</v>
      </c>
      <c r="E51" s="110" t="s">
        <v>544</v>
      </c>
      <c r="F51" s="268">
        <v>1</v>
      </c>
      <c r="G51" s="268">
        <v>1</v>
      </c>
      <c r="H51" s="257">
        <f>H47*F51</f>
        <v>14129.349999999999</v>
      </c>
      <c r="I51" s="256">
        <f>I47*G51</f>
        <v>874384.75</v>
      </c>
      <c r="J51" s="189" t="s">
        <v>469</v>
      </c>
      <c r="K51" s="115" t="s">
        <v>528</v>
      </c>
      <c r="L51" s="186"/>
      <c r="M51" s="283"/>
      <c r="N51" s="145"/>
      <c r="O51" s="292"/>
      <c r="P51" s="145"/>
      <c r="Q51" s="284"/>
      <c r="R51" s="145"/>
      <c r="S51" s="295">
        <v>0</v>
      </c>
      <c r="T51" s="145">
        <f>S51*I51</f>
        <v>0</v>
      </c>
      <c r="U51" s="296">
        <v>0.3</v>
      </c>
      <c r="V51" s="145">
        <f>(U51*(I51/10))*Baasandmed!$D$8</f>
        <v>388226.82900000003</v>
      </c>
      <c r="W51" s="157">
        <f t="shared" si="10"/>
        <v>388226.82900000003</v>
      </c>
      <c r="X51" s="303"/>
      <c r="Y51" s="176"/>
      <c r="Z51" s="303"/>
      <c r="AA51" s="176"/>
      <c r="AB51" s="303"/>
      <c r="AC51" s="177"/>
      <c r="AD51" s="303"/>
      <c r="AE51" s="177"/>
      <c r="AF51" s="303"/>
      <c r="AG51" s="177"/>
      <c r="AH51" s="69">
        <f>Y51+AA51+AC51+(AE51/Baasandmed!$D$13)+AG51</f>
        <v>0</v>
      </c>
      <c r="AI51" s="113"/>
      <c r="AJ51" s="68" t="s">
        <v>545</v>
      </c>
      <c r="AK51" s="315">
        <v>2</v>
      </c>
      <c r="AL51" s="315">
        <v>2</v>
      </c>
      <c r="AM51" s="227">
        <f t="shared" si="8"/>
        <v>4</v>
      </c>
    </row>
    <row r="52" spans="2:39" ht="38.25" hidden="1" x14ac:dyDescent="0.25">
      <c r="B52" s="246">
        <v>7.7</v>
      </c>
      <c r="C52" s="199" t="s">
        <v>407</v>
      </c>
      <c r="D52" s="133" t="s">
        <v>476</v>
      </c>
      <c r="E52" s="191" t="s">
        <v>492</v>
      </c>
      <c r="F52" s="270"/>
      <c r="G52" s="270"/>
      <c r="H52" s="258"/>
      <c r="I52" s="259"/>
      <c r="J52" s="190" t="s">
        <v>469</v>
      </c>
      <c r="K52" s="115" t="s">
        <v>470</v>
      </c>
      <c r="L52" s="202"/>
      <c r="M52" s="287"/>
      <c r="N52" s="203"/>
      <c r="O52" s="293"/>
      <c r="P52" s="203"/>
      <c r="Q52" s="293"/>
      <c r="R52" s="203"/>
      <c r="S52" s="285"/>
      <c r="T52" s="146"/>
      <c r="U52" s="298"/>
      <c r="V52" s="147"/>
      <c r="W52" s="204">
        <f t="shared" si="10"/>
        <v>0</v>
      </c>
      <c r="X52" s="304"/>
      <c r="Y52" s="178"/>
      <c r="Z52" s="304"/>
      <c r="AA52" s="178"/>
      <c r="AB52" s="304"/>
      <c r="AC52" s="179"/>
      <c r="AD52" s="304"/>
      <c r="AE52" s="179"/>
      <c r="AF52" s="304"/>
      <c r="AG52" s="179"/>
      <c r="AH52" s="69">
        <f>Y52+AA52+AC52+(AE52/Baasandmed!$D$13)+AG52</f>
        <v>0</v>
      </c>
      <c r="AI52" s="142"/>
      <c r="AJ52" s="136" t="s">
        <v>519</v>
      </c>
      <c r="AK52" s="316">
        <v>1</v>
      </c>
      <c r="AL52" s="320">
        <v>2</v>
      </c>
      <c r="AM52" s="228">
        <f t="shared" si="8"/>
        <v>3</v>
      </c>
    </row>
    <row r="53" spans="2:39" ht="121.5" thickBot="1" x14ac:dyDescent="0.3">
      <c r="B53" s="246">
        <v>8.1</v>
      </c>
      <c r="C53" s="139" t="s">
        <v>408</v>
      </c>
      <c r="D53" s="207" t="s">
        <v>209</v>
      </c>
      <c r="E53" s="209" t="s">
        <v>270</v>
      </c>
      <c r="F53" s="274"/>
      <c r="G53" s="275">
        <v>1</v>
      </c>
      <c r="H53" s="253"/>
      <c r="I53" s="254">
        <f>Baasandmed!$L$26*G53</f>
        <v>920405</v>
      </c>
      <c r="J53" s="188" t="s">
        <v>450</v>
      </c>
      <c r="K53" s="187" t="s">
        <v>546</v>
      </c>
      <c r="L53" s="187" t="s">
        <v>547</v>
      </c>
      <c r="M53" s="281"/>
      <c r="N53" s="143"/>
      <c r="O53" s="290"/>
      <c r="P53" s="143"/>
      <c r="Q53" s="281"/>
      <c r="R53" s="143"/>
      <c r="S53" s="281"/>
      <c r="T53" s="143"/>
      <c r="U53" s="281"/>
      <c r="V53" s="143"/>
      <c r="W53" s="158"/>
      <c r="X53" s="300">
        <v>0</v>
      </c>
      <c r="Y53" s="213">
        <f>X53*Baasandmed!$D$10</f>
        <v>0</v>
      </c>
      <c r="Z53" s="300">
        <v>0</v>
      </c>
      <c r="AA53" s="251">
        <f>Z53*Baasandmed!$D$10</f>
        <v>0</v>
      </c>
      <c r="AB53" s="307">
        <v>240</v>
      </c>
      <c r="AC53" s="336">
        <f>AB53*Baasandmed!$D$7</f>
        <v>3134.4</v>
      </c>
      <c r="AD53" s="348">
        <v>500</v>
      </c>
      <c r="AE53" s="349">
        <f>AD53*Baasandmed!$D$10</f>
        <v>32500</v>
      </c>
      <c r="AF53" s="338">
        <v>25</v>
      </c>
      <c r="AG53" s="170">
        <f>AF53*Baasandmed!$D$10</f>
        <v>1625</v>
      </c>
      <c r="AH53" s="171">
        <f>Y53+AA53+AC53+(AE53/Baasandmed!$D$13)+AG53</f>
        <v>11259.4</v>
      </c>
      <c r="AI53" s="180">
        <f>SUM(W53:W59)-AH53</f>
        <v>850009.5787500001</v>
      </c>
      <c r="AJ53" s="167" t="s">
        <v>548</v>
      </c>
      <c r="AK53" s="313">
        <v>4</v>
      </c>
      <c r="AL53" s="319">
        <v>2</v>
      </c>
      <c r="AM53" s="227">
        <f>AK53+AL53</f>
        <v>6</v>
      </c>
    </row>
    <row r="54" spans="2:39" ht="51" hidden="1" x14ac:dyDescent="0.25">
      <c r="B54" s="246">
        <v>8.1999999999999993</v>
      </c>
      <c r="C54" s="51" t="s">
        <v>408</v>
      </c>
      <c r="D54" s="70" t="s">
        <v>454</v>
      </c>
      <c r="E54" s="110" t="s">
        <v>455</v>
      </c>
      <c r="F54" s="268">
        <v>0.95</v>
      </c>
      <c r="G54" s="268">
        <v>0.95</v>
      </c>
      <c r="H54" s="255">
        <f>Baasandmed!$K$26*F54</f>
        <v>14129.349999999999</v>
      </c>
      <c r="I54" s="256">
        <f>I53*G54</f>
        <v>874384.75</v>
      </c>
      <c r="J54" s="189" t="s">
        <v>450</v>
      </c>
      <c r="K54" s="186" t="s">
        <v>549</v>
      </c>
      <c r="L54" s="186" t="s">
        <v>550</v>
      </c>
      <c r="M54" s="286">
        <v>0</v>
      </c>
      <c r="N54" s="144">
        <f>((M54/Baasandmed!$N$3)*Baasandmed!$P$3)+((M54/Baasandmed!$N$11)*Baasandmed!$P$11)+((M54/Baasandmed!$N$12)*Baasandmed!$P$12)+((M54/Baasandmed!$N$17)*Baasandmed!$P$17)</f>
        <v>0</v>
      </c>
      <c r="O54" s="291">
        <v>0</v>
      </c>
      <c r="P54" s="144">
        <f>(SUM(Baasandmed!$G$30:$G$63))*O54</f>
        <v>0</v>
      </c>
      <c r="Q54" s="291">
        <v>0</v>
      </c>
      <c r="R54" s="144">
        <f>(Baasandmed!$G$66+Baasandmed!$G$67+Baasandmed!$G$71+Baasandmed!$G$72+Baasandmed!$G$76+Baasandmed!$G$77+Baasandmed!$G$81+Baasandmed!$G$82+Baasandmed!$G$86+Baasandmed!$G$87+Baasandmed!$G$91+Baasandmed!$G$92+Baasandmed!$G$96+Baasandmed!$G$97+Baasandmed!$G$101+Baasandmed!$G$102)*Majandusanalüüs!Q54</f>
        <v>0</v>
      </c>
      <c r="S54" s="283"/>
      <c r="T54" s="144"/>
      <c r="U54" s="296">
        <v>0.25</v>
      </c>
      <c r="V54" s="145">
        <f>(U54*(I54/10))*Baasandmed!$D$4</f>
        <v>214224.26375000004</v>
      </c>
      <c r="W54" s="157">
        <f>N54+P54+R54+T54+V54</f>
        <v>214224.26375000004</v>
      </c>
      <c r="X54" s="303"/>
      <c r="Y54" s="176"/>
      <c r="Z54" s="303"/>
      <c r="AA54" s="176"/>
      <c r="AB54" s="303"/>
      <c r="AC54" s="177"/>
      <c r="AD54" s="342"/>
      <c r="AE54" s="343"/>
      <c r="AF54" s="303"/>
      <c r="AG54" s="177"/>
      <c r="AH54" s="69">
        <f>Y54+AA54+AC54+(AE54/Baasandmed!$D$13)+AG54</f>
        <v>0</v>
      </c>
      <c r="AI54" s="113"/>
      <c r="AJ54" s="71" t="s">
        <v>551</v>
      </c>
      <c r="AK54" s="314">
        <v>5</v>
      </c>
      <c r="AL54" s="315">
        <v>2</v>
      </c>
      <c r="AM54" s="227">
        <f t="shared" si="8"/>
        <v>7</v>
      </c>
    </row>
    <row r="55" spans="2:39" ht="36" hidden="1" x14ac:dyDescent="0.25">
      <c r="B55" s="246">
        <v>8.3000000000000007</v>
      </c>
      <c r="C55" s="51" t="s">
        <v>408</v>
      </c>
      <c r="D55" s="70" t="s">
        <v>459</v>
      </c>
      <c r="E55" s="110" t="s">
        <v>460</v>
      </c>
      <c r="F55" s="268">
        <v>0.2</v>
      </c>
      <c r="G55" s="268">
        <v>0.6</v>
      </c>
      <c r="H55" s="255">
        <f>H54*F55</f>
        <v>2825.87</v>
      </c>
      <c r="I55" s="256">
        <f>I54*G55</f>
        <v>524630.85</v>
      </c>
      <c r="J55" s="189" t="s">
        <v>450</v>
      </c>
      <c r="K55" s="115" t="s">
        <v>485</v>
      </c>
      <c r="L55" s="186" t="s">
        <v>470</v>
      </c>
      <c r="M55" s="283"/>
      <c r="N55" s="145"/>
      <c r="O55" s="292"/>
      <c r="P55" s="145"/>
      <c r="Q55" s="284"/>
      <c r="R55" s="145"/>
      <c r="S55" s="284"/>
      <c r="T55" s="145"/>
      <c r="U55" s="296">
        <v>0</v>
      </c>
      <c r="V55" s="145">
        <f>(U55*(I55/10))*Baasandmed!$D$7</f>
        <v>0</v>
      </c>
      <c r="W55" s="157">
        <f t="shared" ref="W55:W59" si="11">N55+P55+R55+T55+V55</f>
        <v>0</v>
      </c>
      <c r="X55" s="303"/>
      <c r="Y55" s="176"/>
      <c r="Z55" s="303"/>
      <c r="AA55" s="176"/>
      <c r="AB55" s="303"/>
      <c r="AC55" s="177"/>
      <c r="AD55" s="303"/>
      <c r="AE55" s="177"/>
      <c r="AF55" s="303"/>
      <c r="AG55" s="177"/>
      <c r="AH55" s="69">
        <f>Y55+AA55+AC55+(AE55/Baasandmed!$D$13)+AG55</f>
        <v>0</v>
      </c>
      <c r="AI55" s="113"/>
      <c r="AJ55" s="68" t="s">
        <v>462</v>
      </c>
      <c r="AK55" s="315">
        <v>1</v>
      </c>
      <c r="AL55" s="315">
        <v>2</v>
      </c>
      <c r="AM55" s="227">
        <f t="shared" si="8"/>
        <v>3</v>
      </c>
    </row>
    <row r="56" spans="2:39" ht="36" hidden="1" x14ac:dyDescent="0.25">
      <c r="B56" s="246">
        <v>8.4</v>
      </c>
      <c r="C56" s="51" t="s">
        <v>408</v>
      </c>
      <c r="D56" s="70" t="s">
        <v>463</v>
      </c>
      <c r="E56" s="110" t="s">
        <v>498</v>
      </c>
      <c r="F56" s="268">
        <v>1</v>
      </c>
      <c r="G56" s="268">
        <v>1</v>
      </c>
      <c r="H56" s="255">
        <f>H54*F56</f>
        <v>14129.349999999999</v>
      </c>
      <c r="I56" s="256">
        <f>I54*G56</f>
        <v>874384.75</v>
      </c>
      <c r="J56" s="189" t="s">
        <v>469</v>
      </c>
      <c r="K56" s="115" t="s">
        <v>470</v>
      </c>
      <c r="L56" s="186" t="s">
        <v>550</v>
      </c>
      <c r="M56" s="283"/>
      <c r="N56" s="145"/>
      <c r="O56" s="292"/>
      <c r="P56" s="145"/>
      <c r="Q56" s="284"/>
      <c r="R56" s="145"/>
      <c r="S56" s="284"/>
      <c r="T56" s="145"/>
      <c r="U56" s="296">
        <v>0</v>
      </c>
      <c r="V56" s="145">
        <f>(U56*(I56/10))*Baasandmed!$D$7</f>
        <v>0</v>
      </c>
      <c r="W56" s="157">
        <f t="shared" si="11"/>
        <v>0</v>
      </c>
      <c r="X56" s="303"/>
      <c r="Y56" s="176"/>
      <c r="Z56" s="303"/>
      <c r="AA56" s="176"/>
      <c r="AB56" s="303"/>
      <c r="AC56" s="177"/>
      <c r="AD56" s="303"/>
      <c r="AE56" s="177"/>
      <c r="AF56" s="303"/>
      <c r="AG56" s="177"/>
      <c r="AH56" s="69">
        <f>Y56+AA56+AC56+(AE56/Baasandmed!$D$13)+AG56</f>
        <v>0</v>
      </c>
      <c r="AI56" s="113"/>
      <c r="AJ56" s="71" t="s">
        <v>552</v>
      </c>
      <c r="AK56" s="315">
        <v>3</v>
      </c>
      <c r="AL56" s="315">
        <v>2</v>
      </c>
      <c r="AM56" s="227">
        <f t="shared" si="8"/>
        <v>5</v>
      </c>
    </row>
    <row r="57" spans="2:39" ht="36" hidden="1" x14ac:dyDescent="0.25">
      <c r="B57" s="246">
        <v>8.5</v>
      </c>
      <c r="C57" s="51" t="s">
        <v>408</v>
      </c>
      <c r="D57" s="70" t="s">
        <v>467</v>
      </c>
      <c r="E57" s="110"/>
      <c r="F57" s="268">
        <v>0</v>
      </c>
      <c r="G57" s="269"/>
      <c r="H57" s="255">
        <f>H54*F57</f>
        <v>0</v>
      </c>
      <c r="I57" s="256"/>
      <c r="J57" s="189" t="s">
        <v>469</v>
      </c>
      <c r="K57" s="115" t="s">
        <v>470</v>
      </c>
      <c r="L57" s="186"/>
      <c r="M57" s="284"/>
      <c r="N57" s="145"/>
      <c r="O57" s="292"/>
      <c r="P57" s="145"/>
      <c r="Q57" s="284"/>
      <c r="R57" s="145"/>
      <c r="S57" s="284"/>
      <c r="T57" s="145"/>
      <c r="U57" s="296"/>
      <c r="V57" s="145"/>
      <c r="W57" s="157">
        <f t="shared" si="11"/>
        <v>0</v>
      </c>
      <c r="X57" s="303"/>
      <c r="Y57" s="176"/>
      <c r="Z57" s="303"/>
      <c r="AA57" s="176"/>
      <c r="AB57" s="303"/>
      <c r="AC57" s="177"/>
      <c r="AD57" s="303"/>
      <c r="AE57" s="177"/>
      <c r="AF57" s="303"/>
      <c r="AG57" s="177"/>
      <c r="AH57" s="69">
        <f>Y57+AA57+AC57+(AE57/Baasandmed!$D$13)+AG57</f>
        <v>0</v>
      </c>
      <c r="AI57" s="113"/>
      <c r="AJ57" s="68" t="s">
        <v>553</v>
      </c>
      <c r="AK57" s="315">
        <v>1</v>
      </c>
      <c r="AL57" s="315">
        <v>2</v>
      </c>
      <c r="AM57" s="227">
        <f t="shared" si="8"/>
        <v>3</v>
      </c>
    </row>
    <row r="58" spans="2:39" ht="45.75" hidden="1" x14ac:dyDescent="0.25">
      <c r="B58" s="246">
        <v>8.6</v>
      </c>
      <c r="C58" s="51" t="s">
        <v>408</v>
      </c>
      <c r="D58" s="70" t="s">
        <v>472</v>
      </c>
      <c r="E58" s="110" t="s">
        <v>544</v>
      </c>
      <c r="F58" s="268">
        <v>1</v>
      </c>
      <c r="G58" s="268">
        <v>1</v>
      </c>
      <c r="H58" s="257">
        <f>H54*F58</f>
        <v>14129.349999999999</v>
      </c>
      <c r="I58" s="256">
        <f>I54*G58</f>
        <v>874384.75</v>
      </c>
      <c r="J58" s="189" t="s">
        <v>469</v>
      </c>
      <c r="K58" s="115" t="s">
        <v>470</v>
      </c>
      <c r="L58" s="186"/>
      <c r="M58" s="283"/>
      <c r="N58" s="145"/>
      <c r="O58" s="292"/>
      <c r="P58" s="145"/>
      <c r="Q58" s="284"/>
      <c r="R58" s="145"/>
      <c r="S58" s="295">
        <v>0</v>
      </c>
      <c r="T58" s="145">
        <f>S58*I58</f>
        <v>0</v>
      </c>
      <c r="U58" s="296">
        <v>0</v>
      </c>
      <c r="V58" s="145">
        <f>(U58*(I58/10))*Baasandmed!$D$8</f>
        <v>0</v>
      </c>
      <c r="W58" s="157">
        <f t="shared" si="11"/>
        <v>0</v>
      </c>
      <c r="X58" s="303"/>
      <c r="Y58" s="176"/>
      <c r="Z58" s="303"/>
      <c r="AA58" s="176"/>
      <c r="AB58" s="303"/>
      <c r="AC58" s="177"/>
      <c r="AD58" s="303"/>
      <c r="AE58" s="177"/>
      <c r="AF58" s="303"/>
      <c r="AG58" s="177"/>
      <c r="AH58" s="69">
        <f>Y58+AA58+AC58+(AE58/Baasandmed!$D$13)+AG58</f>
        <v>0</v>
      </c>
      <c r="AI58" s="113"/>
      <c r="AJ58" s="71" t="s">
        <v>548</v>
      </c>
      <c r="AK58" s="315">
        <v>3</v>
      </c>
      <c r="AL58" s="315">
        <v>2</v>
      </c>
      <c r="AM58" s="227">
        <f t="shared" si="8"/>
        <v>5</v>
      </c>
    </row>
    <row r="59" spans="2:39" ht="38.25" hidden="1" x14ac:dyDescent="0.25">
      <c r="B59" s="246">
        <v>8.6999999999999993</v>
      </c>
      <c r="C59" s="141" t="s">
        <v>408</v>
      </c>
      <c r="D59" s="133" t="s">
        <v>476</v>
      </c>
      <c r="E59" s="191" t="s">
        <v>492</v>
      </c>
      <c r="F59" s="270"/>
      <c r="G59" s="273">
        <v>1</v>
      </c>
      <c r="H59" s="258"/>
      <c r="I59" s="256">
        <f>I54*G59</f>
        <v>874384.75</v>
      </c>
      <c r="J59" s="190" t="s">
        <v>469</v>
      </c>
      <c r="K59" s="115" t="s">
        <v>554</v>
      </c>
      <c r="L59" s="202"/>
      <c r="M59" s="287"/>
      <c r="N59" s="203"/>
      <c r="O59" s="293"/>
      <c r="P59" s="203"/>
      <c r="Q59" s="293"/>
      <c r="R59" s="203"/>
      <c r="S59" s="285"/>
      <c r="T59" s="146"/>
      <c r="U59" s="296">
        <v>0.5</v>
      </c>
      <c r="V59" s="145">
        <f>(U59*(I59/10))*Baasandmed!$D$8</f>
        <v>647044.71500000008</v>
      </c>
      <c r="W59" s="157">
        <f t="shared" si="11"/>
        <v>647044.71500000008</v>
      </c>
      <c r="X59" s="304"/>
      <c r="Y59" s="178"/>
      <c r="Z59" s="304"/>
      <c r="AA59" s="178"/>
      <c r="AB59" s="304"/>
      <c r="AC59" s="179"/>
      <c r="AD59" s="304"/>
      <c r="AE59" s="179"/>
      <c r="AF59" s="304"/>
      <c r="AG59" s="179"/>
      <c r="AH59" s="69">
        <f>Y59+AA59+AC59+(AE59/Baasandmed!$D$13)+AG59</f>
        <v>0</v>
      </c>
      <c r="AI59" s="142"/>
      <c r="AJ59" s="136" t="s">
        <v>555</v>
      </c>
      <c r="AK59" s="316">
        <v>3</v>
      </c>
      <c r="AL59" s="320">
        <v>2</v>
      </c>
      <c r="AM59" s="228">
        <f t="shared" si="8"/>
        <v>5</v>
      </c>
    </row>
    <row r="60" spans="2:39" ht="97.5" thickBot="1" x14ac:dyDescent="0.3">
      <c r="B60" s="246">
        <v>9.1</v>
      </c>
      <c r="C60" s="139" t="s">
        <v>409</v>
      </c>
      <c r="D60" s="207" t="s">
        <v>209</v>
      </c>
      <c r="E60" s="208" t="s">
        <v>286</v>
      </c>
      <c r="F60" s="276"/>
      <c r="G60" s="277">
        <v>1</v>
      </c>
      <c r="H60" s="260"/>
      <c r="I60" s="261">
        <f>I61</f>
        <v>978874</v>
      </c>
      <c r="J60" s="188" t="s">
        <v>450</v>
      </c>
      <c r="K60" s="187" t="s">
        <v>556</v>
      </c>
      <c r="L60" s="187" t="s">
        <v>557</v>
      </c>
      <c r="M60" s="288"/>
      <c r="N60" s="210"/>
      <c r="O60" s="294"/>
      <c r="P60" s="210"/>
      <c r="Q60" s="288"/>
      <c r="R60" s="210"/>
      <c r="S60" s="288"/>
      <c r="T60" s="210"/>
      <c r="U60" s="288"/>
      <c r="V60" s="210"/>
      <c r="W60" s="211"/>
      <c r="X60" s="300">
        <v>0</v>
      </c>
      <c r="Y60" s="213">
        <f>X60*Baasandmed!$D$10</f>
        <v>0</v>
      </c>
      <c r="Z60" s="300">
        <v>0</v>
      </c>
      <c r="AA60" s="251">
        <f>Z60*Baasandmed!$D$10</f>
        <v>0</v>
      </c>
      <c r="AB60" s="307">
        <v>480</v>
      </c>
      <c r="AC60" s="336">
        <f>AB60*Baasandmed!$D$7</f>
        <v>6268.8</v>
      </c>
      <c r="AD60" s="348">
        <v>750</v>
      </c>
      <c r="AE60" s="349">
        <f>AD60*Baasandmed!$D$10</f>
        <v>48750</v>
      </c>
      <c r="AF60" s="338">
        <v>80</v>
      </c>
      <c r="AG60" s="170">
        <f>AF60*Baasandmed!$D$10</f>
        <v>5200</v>
      </c>
      <c r="AH60" s="171">
        <f>Y60+AA60+AC60+(AE60/Baasandmed!$D$13)+AG60</f>
        <v>21218.799999999999</v>
      </c>
      <c r="AI60" s="180">
        <f>SUM(W60:W66)-AH60</f>
        <v>287975.5</v>
      </c>
      <c r="AJ60" s="212" t="s">
        <v>558</v>
      </c>
      <c r="AK60" s="317">
        <v>2</v>
      </c>
      <c r="AL60" s="321">
        <v>2</v>
      </c>
      <c r="AM60" s="227">
        <f t="shared" si="8"/>
        <v>4</v>
      </c>
    </row>
    <row r="61" spans="2:39" ht="68.25" hidden="1" x14ac:dyDescent="0.25">
      <c r="B61" s="246">
        <v>9.1999999999999993</v>
      </c>
      <c r="C61" s="51" t="s">
        <v>409</v>
      </c>
      <c r="D61" s="70" t="s">
        <v>454</v>
      </c>
      <c r="E61" s="110" t="s">
        <v>559</v>
      </c>
      <c r="F61" s="268">
        <v>1</v>
      </c>
      <c r="G61" s="268">
        <v>1</v>
      </c>
      <c r="H61" s="255">
        <v>7610</v>
      </c>
      <c r="I61" s="256">
        <v>978874</v>
      </c>
      <c r="J61" s="189" t="s">
        <v>450</v>
      </c>
      <c r="K61" s="186" t="s">
        <v>560</v>
      </c>
      <c r="L61" s="186" t="s">
        <v>561</v>
      </c>
      <c r="M61" s="286">
        <v>0</v>
      </c>
      <c r="N61" s="144">
        <f>((M61/Baasandmed!$N$3)*Baasandmed!$P$3)+((M61/Baasandmed!$N$11)*Baasandmed!$P$11)+((M61/Baasandmed!$N$12)*Baasandmed!$P$12)+((M61/Baasandmed!$N$17)*Baasandmed!$P$17)</f>
        <v>0</v>
      </c>
      <c r="O61" s="291">
        <v>0</v>
      </c>
      <c r="P61" s="144">
        <f>(SUM(Baasandmed!$G$30:$G$63))*O61</f>
        <v>0</v>
      </c>
      <c r="Q61" s="291">
        <v>0</v>
      </c>
      <c r="R61" s="144">
        <f>(Baasandmed!$G$66+Baasandmed!$G$67+Baasandmed!$G$71+Baasandmed!$G$72+Baasandmed!$G$76+Baasandmed!$G$77+Baasandmed!$G$81+Baasandmed!$G$82+Baasandmed!$G$86+Baasandmed!$G$87+Baasandmed!$G$91+Baasandmed!$G$92+Baasandmed!$G$96+Baasandmed!$G$97+Baasandmed!$G$101+Baasandmed!$G$102)*Majandusanalüüs!Q61</f>
        <v>0</v>
      </c>
      <c r="S61" s="283"/>
      <c r="T61" s="144"/>
      <c r="U61" s="296">
        <v>0.5</v>
      </c>
      <c r="V61" s="145">
        <f>H61*U61*Baasandmed!$D$4</f>
        <v>37289</v>
      </c>
      <c r="W61" s="157">
        <f t="shared" ref="W61" si="12">N61+P61+R61+T61+V61</f>
        <v>37289</v>
      </c>
      <c r="X61" s="303"/>
      <c r="Y61" s="176"/>
      <c r="Z61" s="303"/>
      <c r="AA61" s="176"/>
      <c r="AB61" s="303"/>
      <c r="AC61" s="177"/>
      <c r="AD61" s="342"/>
      <c r="AE61" s="343"/>
      <c r="AF61" s="303"/>
      <c r="AG61" s="177"/>
      <c r="AH61" s="69">
        <f>Y61+AA61+AC61+(AE61/Baasandmed!$D$13)+AG61</f>
        <v>0</v>
      </c>
      <c r="AI61" s="113"/>
      <c r="AJ61" s="71" t="s">
        <v>562</v>
      </c>
      <c r="AK61" s="314">
        <v>3</v>
      </c>
      <c r="AL61" s="315">
        <v>2</v>
      </c>
      <c r="AM61" s="227">
        <f t="shared" si="8"/>
        <v>5</v>
      </c>
    </row>
    <row r="62" spans="2:39" ht="57" hidden="1" x14ac:dyDescent="0.25">
      <c r="B62" s="246">
        <v>9.3000000000000007</v>
      </c>
      <c r="C62" s="51" t="s">
        <v>409</v>
      </c>
      <c r="D62" s="70" t="s">
        <v>459</v>
      </c>
      <c r="E62" s="110" t="s">
        <v>460</v>
      </c>
      <c r="F62" s="268">
        <v>1</v>
      </c>
      <c r="G62" s="268">
        <v>1</v>
      </c>
      <c r="H62" s="255">
        <f>H61*F62</f>
        <v>7610</v>
      </c>
      <c r="I62" s="256">
        <f>I61*G62</f>
        <v>978874</v>
      </c>
      <c r="J62" s="189" t="s">
        <v>450</v>
      </c>
      <c r="K62" s="115" t="s">
        <v>485</v>
      </c>
      <c r="L62" s="186" t="s">
        <v>561</v>
      </c>
      <c r="M62" s="283"/>
      <c r="N62" s="145"/>
      <c r="O62" s="292"/>
      <c r="P62" s="145"/>
      <c r="Q62" s="284"/>
      <c r="R62" s="145"/>
      <c r="S62" s="284"/>
      <c r="T62" s="145"/>
      <c r="U62" s="296">
        <v>0.5</v>
      </c>
      <c r="V62" s="145">
        <f>H62*U62*Baasandmed!$D$7</f>
        <v>49693.3</v>
      </c>
      <c r="W62" s="157">
        <f t="shared" ref="W62:W63" si="13">N62+P62+R62+T62+V62</f>
        <v>49693.3</v>
      </c>
      <c r="X62" s="303"/>
      <c r="Y62" s="176"/>
      <c r="Z62" s="303"/>
      <c r="AA62" s="176"/>
      <c r="AB62" s="303"/>
      <c r="AC62" s="177"/>
      <c r="AD62" s="303"/>
      <c r="AE62" s="177"/>
      <c r="AF62" s="303"/>
      <c r="AG62" s="177"/>
      <c r="AH62" s="69">
        <f>Y62+AA62+AC62+(AE62/Baasandmed!$D$13)+AG62</f>
        <v>0</v>
      </c>
      <c r="AI62" s="113"/>
      <c r="AJ62" s="68" t="s">
        <v>563</v>
      </c>
      <c r="AK62" s="315">
        <v>1</v>
      </c>
      <c r="AL62" s="315">
        <v>2</v>
      </c>
      <c r="AM62" s="227">
        <f t="shared" si="8"/>
        <v>3</v>
      </c>
    </row>
    <row r="63" spans="2:39" ht="72" hidden="1" x14ac:dyDescent="0.25">
      <c r="B63" s="246">
        <v>9.4</v>
      </c>
      <c r="C63" s="51" t="s">
        <v>409</v>
      </c>
      <c r="D63" s="70" t="s">
        <v>463</v>
      </c>
      <c r="E63" s="110" t="s">
        <v>498</v>
      </c>
      <c r="F63" s="268">
        <v>1</v>
      </c>
      <c r="G63" s="268">
        <v>1</v>
      </c>
      <c r="H63" s="255">
        <f>H61*F63</f>
        <v>7610</v>
      </c>
      <c r="I63" s="256">
        <f>I61*G63</f>
        <v>978874</v>
      </c>
      <c r="J63" s="189" t="s">
        <v>469</v>
      </c>
      <c r="K63" s="115" t="s">
        <v>564</v>
      </c>
      <c r="L63" s="186" t="s">
        <v>561</v>
      </c>
      <c r="M63" s="283"/>
      <c r="N63" s="145"/>
      <c r="O63" s="292"/>
      <c r="P63" s="145"/>
      <c r="Q63" s="284"/>
      <c r="R63" s="145"/>
      <c r="S63" s="284"/>
      <c r="T63" s="145"/>
      <c r="U63" s="296">
        <v>0.5</v>
      </c>
      <c r="V63" s="145">
        <f>H63*U63*Baasandmed!$D$7</f>
        <v>49693.3</v>
      </c>
      <c r="W63" s="157">
        <f t="shared" si="13"/>
        <v>49693.3</v>
      </c>
      <c r="X63" s="303"/>
      <c r="Y63" s="176"/>
      <c r="Z63" s="303"/>
      <c r="AA63" s="176"/>
      <c r="AB63" s="303"/>
      <c r="AC63" s="177"/>
      <c r="AD63" s="303"/>
      <c r="AE63" s="177"/>
      <c r="AF63" s="303"/>
      <c r="AG63" s="177"/>
      <c r="AH63" s="69">
        <f>Y63+AA63+AC63+(AE63/Baasandmed!$D$13)+AG63</f>
        <v>0</v>
      </c>
      <c r="AI63" s="113"/>
      <c r="AJ63" s="71" t="s">
        <v>565</v>
      </c>
      <c r="AK63" s="315">
        <v>2</v>
      </c>
      <c r="AL63" s="315">
        <v>2</v>
      </c>
      <c r="AM63" s="227">
        <f t="shared" si="8"/>
        <v>4</v>
      </c>
    </row>
    <row r="64" spans="2:39" ht="62.45" hidden="1" customHeight="1" x14ac:dyDescent="0.25">
      <c r="B64" s="246">
        <v>9.5</v>
      </c>
      <c r="C64" s="51" t="s">
        <v>409</v>
      </c>
      <c r="D64" s="70" t="s">
        <v>467</v>
      </c>
      <c r="E64" s="110" t="s">
        <v>468</v>
      </c>
      <c r="F64" s="268">
        <v>1</v>
      </c>
      <c r="G64" s="269"/>
      <c r="H64" s="255">
        <f>H61*F64</f>
        <v>7610</v>
      </c>
      <c r="I64" s="256"/>
      <c r="J64" s="189" t="s">
        <v>469</v>
      </c>
      <c r="K64" s="115" t="s">
        <v>566</v>
      </c>
      <c r="L64" s="186" t="s">
        <v>561</v>
      </c>
      <c r="M64" s="284"/>
      <c r="N64" s="145"/>
      <c r="O64" s="292"/>
      <c r="P64" s="145"/>
      <c r="Q64" s="284"/>
      <c r="R64" s="145"/>
      <c r="S64" s="284"/>
      <c r="T64" s="145"/>
      <c r="U64" s="296">
        <v>0.5</v>
      </c>
      <c r="V64" s="145">
        <f>H64*U64*Baasandmed!$D$6</f>
        <v>75833.649999999994</v>
      </c>
      <c r="W64" s="157">
        <f t="shared" ref="W64" si="14">N64+P64+R64+T64+V64</f>
        <v>75833.649999999994</v>
      </c>
      <c r="X64" s="303"/>
      <c r="Y64" s="176"/>
      <c r="Z64" s="303"/>
      <c r="AA64" s="176"/>
      <c r="AB64" s="303"/>
      <c r="AC64" s="177"/>
      <c r="AD64" s="303"/>
      <c r="AE64" s="177"/>
      <c r="AF64" s="303"/>
      <c r="AG64" s="177"/>
      <c r="AH64" s="69">
        <f>Y64+AA64+AC64+(AE64/Baasandmed!$D$13)+AG64</f>
        <v>0</v>
      </c>
      <c r="AI64" s="113"/>
      <c r="AJ64" s="71" t="s">
        <v>567</v>
      </c>
      <c r="AK64" s="315">
        <v>3</v>
      </c>
      <c r="AL64" s="315">
        <v>2</v>
      </c>
      <c r="AM64" s="227">
        <f t="shared" si="8"/>
        <v>5</v>
      </c>
    </row>
    <row r="65" spans="2:39" ht="72" hidden="1" x14ac:dyDescent="0.25">
      <c r="B65" s="246">
        <v>9.6</v>
      </c>
      <c r="C65" s="51" t="s">
        <v>409</v>
      </c>
      <c r="D65" s="70" t="s">
        <v>472</v>
      </c>
      <c r="E65" s="110" t="s">
        <v>514</v>
      </c>
      <c r="F65" s="268">
        <v>1</v>
      </c>
      <c r="G65" s="268">
        <v>1</v>
      </c>
      <c r="H65" s="257">
        <f>H61*F65</f>
        <v>7610</v>
      </c>
      <c r="I65" s="256">
        <f>I61*G65</f>
        <v>978874</v>
      </c>
      <c r="J65" s="189" t="s">
        <v>469</v>
      </c>
      <c r="K65" s="115" t="s">
        <v>564</v>
      </c>
      <c r="L65" s="186" t="s">
        <v>561</v>
      </c>
      <c r="M65" s="283"/>
      <c r="N65" s="145"/>
      <c r="O65" s="292"/>
      <c r="P65" s="145"/>
      <c r="Q65" s="284"/>
      <c r="R65" s="145"/>
      <c r="S65" s="295">
        <v>0</v>
      </c>
      <c r="T65" s="145">
        <f>S65*I65</f>
        <v>0</v>
      </c>
      <c r="U65" s="296">
        <v>0.5</v>
      </c>
      <c r="V65" s="145">
        <f>H65*U65*Baasandmed!$D$8</f>
        <v>56314</v>
      </c>
      <c r="W65" s="157">
        <f t="shared" ref="W65:W66" si="15">N65+P65+R65+T65+V65</f>
        <v>56314</v>
      </c>
      <c r="X65" s="303"/>
      <c r="Y65" s="176"/>
      <c r="Z65" s="303"/>
      <c r="AA65" s="176"/>
      <c r="AB65" s="303"/>
      <c r="AC65" s="177"/>
      <c r="AD65" s="303"/>
      <c r="AE65" s="177"/>
      <c r="AF65" s="303"/>
      <c r="AG65" s="177"/>
      <c r="AH65" s="69">
        <f>Y65+AA65+AC65+(AE65/Baasandmed!$D$13)+AG65</f>
        <v>0</v>
      </c>
      <c r="AI65" s="113"/>
      <c r="AJ65" s="71" t="s">
        <v>567</v>
      </c>
      <c r="AK65" s="315">
        <v>2</v>
      </c>
      <c r="AL65" s="315">
        <v>2</v>
      </c>
      <c r="AM65" s="227">
        <f t="shared" si="8"/>
        <v>4</v>
      </c>
    </row>
    <row r="66" spans="2:39" ht="68.25" hidden="1" x14ac:dyDescent="0.25">
      <c r="B66" s="246">
        <v>9.6999999999999993</v>
      </c>
      <c r="C66" s="141" t="s">
        <v>409</v>
      </c>
      <c r="D66" s="133" t="s">
        <v>476</v>
      </c>
      <c r="E66" s="191" t="s">
        <v>492</v>
      </c>
      <c r="F66" s="270"/>
      <c r="G66" s="273">
        <v>1</v>
      </c>
      <c r="H66" s="262">
        <f>H61*F64</f>
        <v>7610</v>
      </c>
      <c r="I66" s="263">
        <f>I61*G66</f>
        <v>978874</v>
      </c>
      <c r="J66" s="190" t="s">
        <v>469</v>
      </c>
      <c r="K66" s="135" t="s">
        <v>470</v>
      </c>
      <c r="L66" s="202" t="s">
        <v>561</v>
      </c>
      <c r="M66" s="287"/>
      <c r="N66" s="203"/>
      <c r="O66" s="293"/>
      <c r="P66" s="203"/>
      <c r="Q66" s="293"/>
      <c r="R66" s="203"/>
      <c r="S66" s="285"/>
      <c r="T66" s="146"/>
      <c r="U66" s="298">
        <v>0.5</v>
      </c>
      <c r="V66" s="147">
        <f>H66*U66*Baasandmed!$D$5</f>
        <v>40371.049999999996</v>
      </c>
      <c r="W66" s="204">
        <f t="shared" si="15"/>
        <v>40371.049999999996</v>
      </c>
      <c r="X66" s="304"/>
      <c r="Y66" s="178"/>
      <c r="Z66" s="304"/>
      <c r="AA66" s="178"/>
      <c r="AB66" s="304"/>
      <c r="AC66" s="179"/>
      <c r="AD66" s="304"/>
      <c r="AE66" s="179"/>
      <c r="AF66" s="304"/>
      <c r="AG66" s="179"/>
      <c r="AH66" s="69">
        <f>Y66+AA66+AC66+(AE66/Baasandmed!$D$13)+AG66</f>
        <v>0</v>
      </c>
      <c r="AI66" s="142"/>
      <c r="AJ66" s="216" t="s">
        <v>567</v>
      </c>
      <c r="AK66" s="316">
        <v>1</v>
      </c>
      <c r="AL66" s="320">
        <v>2</v>
      </c>
      <c r="AM66" s="228">
        <f t="shared" si="8"/>
        <v>3</v>
      </c>
    </row>
    <row r="67" spans="2:39" ht="204.75" thickBot="1" x14ac:dyDescent="0.3">
      <c r="B67" s="246">
        <v>10.1</v>
      </c>
      <c r="C67" s="139" t="s">
        <v>410</v>
      </c>
      <c r="D67" s="207" t="s">
        <v>209</v>
      </c>
      <c r="E67" s="214" t="s">
        <v>568</v>
      </c>
      <c r="F67" s="266"/>
      <c r="G67" s="267">
        <v>1</v>
      </c>
      <c r="H67" s="253"/>
      <c r="I67" s="254">
        <f>Baasandmed!$L$26*G67</f>
        <v>920405</v>
      </c>
      <c r="J67" s="188" t="s">
        <v>450</v>
      </c>
      <c r="K67" s="132" t="s">
        <v>569</v>
      </c>
      <c r="L67" s="132" t="s">
        <v>570</v>
      </c>
      <c r="M67" s="281"/>
      <c r="N67" s="143"/>
      <c r="O67" s="290"/>
      <c r="P67" s="143"/>
      <c r="Q67" s="281"/>
      <c r="R67" s="143"/>
      <c r="S67" s="281"/>
      <c r="T67" s="143"/>
      <c r="U67" s="281"/>
      <c r="V67" s="143"/>
      <c r="W67" s="158"/>
      <c r="X67" s="300">
        <v>4000</v>
      </c>
      <c r="Y67" s="213">
        <f>X67*Baasandmed!$D$10</f>
        <v>260000</v>
      </c>
      <c r="Z67" s="300">
        <v>250</v>
      </c>
      <c r="AA67" s="251">
        <f>Z67*Baasandmed!$D$10</f>
        <v>16250</v>
      </c>
      <c r="AB67" s="307">
        <v>2000</v>
      </c>
      <c r="AC67" s="336">
        <f>AB67*Baasandmed!$D$7</f>
        <v>26120</v>
      </c>
      <c r="AD67" s="348">
        <v>2500</v>
      </c>
      <c r="AE67" s="349">
        <f>AD67*Baasandmed!$D$10</f>
        <v>162500</v>
      </c>
      <c r="AF67" s="338">
        <v>150</v>
      </c>
      <c r="AG67" s="170">
        <f>AF67*Baasandmed!$D$10</f>
        <v>9750</v>
      </c>
      <c r="AH67" s="171">
        <f>Y67+AA67+AC67+(AE67/Baasandmed!$D$13)+AG67</f>
        <v>344620</v>
      </c>
      <c r="AI67" s="180">
        <f>SUM(W67:W73)-AH67</f>
        <v>24573261.525109995</v>
      </c>
      <c r="AJ67" s="167" t="s">
        <v>453</v>
      </c>
      <c r="AK67" s="313">
        <v>4</v>
      </c>
      <c r="AL67" s="319">
        <v>3</v>
      </c>
      <c r="AM67" s="227">
        <f t="shared" si="8"/>
        <v>7</v>
      </c>
    </row>
    <row r="68" spans="2:39" ht="92.1" hidden="1" customHeight="1" x14ac:dyDescent="0.25">
      <c r="B68" s="246">
        <v>10.199999999999999</v>
      </c>
      <c r="C68" s="51" t="s">
        <v>410</v>
      </c>
      <c r="D68" s="70" t="s">
        <v>454</v>
      </c>
      <c r="E68" s="110" t="s">
        <v>455</v>
      </c>
      <c r="F68" s="268">
        <v>0.95</v>
      </c>
      <c r="G68" s="268">
        <v>0.95</v>
      </c>
      <c r="H68" s="255">
        <f>Baasandmed!$K$26*F68</f>
        <v>14129.349999999999</v>
      </c>
      <c r="I68" s="256">
        <f>I67*G68</f>
        <v>874384.75</v>
      </c>
      <c r="J68" s="189" t="s">
        <v>450</v>
      </c>
      <c r="K68" s="115" t="s">
        <v>571</v>
      </c>
      <c r="L68" s="115" t="s">
        <v>572</v>
      </c>
      <c r="M68" s="282">
        <v>0.3</v>
      </c>
      <c r="N68" s="144">
        <f>((M68/Baasandmed!$N$3)*Baasandmed!$P$3)+((M68/Baasandmed!$N$11)*Baasandmed!$P$11)+((M68/Baasandmed!$N$12)*Baasandmed!$P$12)+((M68/Baasandmed!$N$17)*Baasandmed!$P$17)</f>
        <v>24748922.757809993</v>
      </c>
      <c r="O68" s="291">
        <v>0</v>
      </c>
      <c r="P68" s="144"/>
      <c r="Q68" s="291">
        <v>0</v>
      </c>
      <c r="R68" s="144">
        <f>(Baasandmed!$G$66+Baasandmed!$G$67+Baasandmed!$G$71+Baasandmed!$G$72+Baasandmed!$G$76+Baasandmed!$G$77+Baasandmed!$G$81+Baasandmed!$G$82+Baasandmed!$G$86+Baasandmed!$G$87+Baasandmed!$G$91+Baasandmed!$G$92+Baasandmed!$G$96+Baasandmed!$G$97+Baasandmed!$G$101+Baasandmed!$G$102)*Majandusanalüüs!Q68</f>
        <v>0</v>
      </c>
      <c r="S68" s="283"/>
      <c r="T68" s="144"/>
      <c r="U68" s="296">
        <v>0.5</v>
      </c>
      <c r="V68" s="145">
        <f>H68*U68*Baasandmed!$D$6</f>
        <v>140798.97274999999</v>
      </c>
      <c r="W68" s="157">
        <f>N68+P68+R68+T68+V68</f>
        <v>24889721.730559994</v>
      </c>
      <c r="X68" s="301"/>
      <c r="Y68" s="172"/>
      <c r="Z68" s="301"/>
      <c r="AA68" s="172"/>
      <c r="AB68" s="301"/>
      <c r="AC68" s="173"/>
      <c r="AD68" s="340"/>
      <c r="AE68" s="341"/>
      <c r="AF68" s="309"/>
      <c r="AG68" s="69"/>
      <c r="AH68" s="69">
        <f>Y68+AA68+AC68+(AE68/Baasandmed!$D$13)+AG68</f>
        <v>0</v>
      </c>
      <c r="AI68" s="111"/>
      <c r="AJ68" s="71" t="s">
        <v>458</v>
      </c>
      <c r="AK68" s="314">
        <v>3</v>
      </c>
      <c r="AL68" s="315">
        <v>3</v>
      </c>
      <c r="AM68" s="227">
        <f t="shared" ref="AM68:AM87" si="16">AK68+AL68</f>
        <v>6</v>
      </c>
    </row>
    <row r="69" spans="2:39" ht="25.5" hidden="1" x14ac:dyDescent="0.25">
      <c r="B69" s="246">
        <v>10.3</v>
      </c>
      <c r="C69" s="51" t="s">
        <v>410</v>
      </c>
      <c r="D69" s="70" t="s">
        <v>459</v>
      </c>
      <c r="E69" s="110" t="s">
        <v>460</v>
      </c>
      <c r="F69" s="268">
        <v>0.2</v>
      </c>
      <c r="G69" s="268">
        <v>0.6</v>
      </c>
      <c r="H69" s="255">
        <f>H68*F69</f>
        <v>2825.87</v>
      </c>
      <c r="I69" s="256">
        <f>I68*G69</f>
        <v>524630.85</v>
      </c>
      <c r="J69" s="189" t="s">
        <v>450</v>
      </c>
      <c r="K69" s="115" t="s">
        <v>461</v>
      </c>
      <c r="L69" s="115"/>
      <c r="M69" s="283"/>
      <c r="N69" s="145"/>
      <c r="O69" s="292"/>
      <c r="P69" s="145"/>
      <c r="Q69" s="284"/>
      <c r="R69" s="145"/>
      <c r="S69" s="284"/>
      <c r="T69" s="145"/>
      <c r="U69" s="296">
        <v>0.5</v>
      </c>
      <c r="V69" s="145">
        <f>H69*U69*Baasandmed!$D$6</f>
        <v>28159.794549999999</v>
      </c>
      <c r="W69" s="157">
        <f t="shared" ref="W69" si="17">N69+P69+R69+T69+V69</f>
        <v>28159.794549999999</v>
      </c>
      <c r="X69" s="301"/>
      <c r="Y69" s="172"/>
      <c r="Z69" s="301"/>
      <c r="AA69" s="172"/>
      <c r="AB69" s="301"/>
      <c r="AC69" s="173"/>
      <c r="AD69" s="309"/>
      <c r="AE69" s="69"/>
      <c r="AF69" s="309"/>
      <c r="AG69" s="69"/>
      <c r="AH69" s="69">
        <f>Y69+AA69+AC69+(AE69/Baasandmed!$D$13)+AG69</f>
        <v>0</v>
      </c>
      <c r="AI69" s="112"/>
      <c r="AJ69" s="68" t="s">
        <v>462</v>
      </c>
      <c r="AK69" s="315">
        <v>3</v>
      </c>
      <c r="AL69" s="315">
        <v>3</v>
      </c>
      <c r="AM69" s="227">
        <f t="shared" si="16"/>
        <v>6</v>
      </c>
    </row>
    <row r="70" spans="2:39" ht="96.75" hidden="1" x14ac:dyDescent="0.25">
      <c r="B70" s="246">
        <v>10.4</v>
      </c>
      <c r="C70" s="51" t="s">
        <v>410</v>
      </c>
      <c r="D70" s="70" t="s">
        <v>463</v>
      </c>
      <c r="E70" s="110" t="s">
        <v>464</v>
      </c>
      <c r="F70" s="268">
        <v>1</v>
      </c>
      <c r="G70" s="268">
        <v>1</v>
      </c>
      <c r="H70" s="255">
        <f>H68*F70</f>
        <v>14129.349999999999</v>
      </c>
      <c r="I70" s="256">
        <f>I68*G70</f>
        <v>874384.75</v>
      </c>
      <c r="J70" s="189" t="s">
        <v>450</v>
      </c>
      <c r="K70" s="115" t="s">
        <v>573</v>
      </c>
      <c r="L70" s="186" t="s">
        <v>574</v>
      </c>
      <c r="M70" s="283"/>
      <c r="N70" s="145"/>
      <c r="O70" s="292"/>
      <c r="P70" s="145"/>
      <c r="Q70" s="284"/>
      <c r="R70" s="145"/>
      <c r="S70" s="284"/>
      <c r="T70" s="145"/>
      <c r="U70" s="284"/>
      <c r="V70" s="145"/>
      <c r="W70" s="157"/>
      <c r="X70" s="301"/>
      <c r="Y70" s="172"/>
      <c r="Z70" s="301"/>
      <c r="AA70" s="172"/>
      <c r="AB70" s="301"/>
      <c r="AC70" s="173"/>
      <c r="AD70" s="309"/>
      <c r="AE70" s="69"/>
      <c r="AF70" s="309"/>
      <c r="AG70" s="69"/>
      <c r="AH70" s="69">
        <f>Y70+AA70+AC70+(AE70/Baasandmed!$D$13)+AG70</f>
        <v>0</v>
      </c>
      <c r="AI70" s="112"/>
      <c r="AJ70" s="71" t="s">
        <v>466</v>
      </c>
      <c r="AK70" s="315">
        <v>2</v>
      </c>
      <c r="AL70" s="315">
        <v>3</v>
      </c>
      <c r="AM70" s="227">
        <f t="shared" si="16"/>
        <v>5</v>
      </c>
    </row>
    <row r="71" spans="2:39" ht="63.75" hidden="1" x14ac:dyDescent="0.25">
      <c r="B71" s="246">
        <v>10.5</v>
      </c>
      <c r="C71" s="51" t="s">
        <v>410</v>
      </c>
      <c r="D71" s="70" t="s">
        <v>467</v>
      </c>
      <c r="E71" s="110" t="s">
        <v>468</v>
      </c>
      <c r="F71" s="268">
        <v>0</v>
      </c>
      <c r="G71" s="269"/>
      <c r="H71" s="255">
        <f>H68*F71</f>
        <v>0</v>
      </c>
      <c r="I71" s="256"/>
      <c r="J71" s="189" t="s">
        <v>469</v>
      </c>
      <c r="K71" s="115" t="s">
        <v>470</v>
      </c>
      <c r="L71" s="115"/>
      <c r="M71" s="284"/>
      <c r="N71" s="145"/>
      <c r="O71" s="292"/>
      <c r="P71" s="145"/>
      <c r="Q71" s="284"/>
      <c r="R71" s="145"/>
      <c r="S71" s="284"/>
      <c r="T71" s="145"/>
      <c r="U71" s="284"/>
      <c r="V71" s="145"/>
      <c r="W71" s="157"/>
      <c r="X71" s="301"/>
      <c r="Y71" s="172"/>
      <c r="Z71" s="301"/>
      <c r="AA71" s="172"/>
      <c r="AB71" s="301"/>
      <c r="AC71" s="173"/>
      <c r="AD71" s="309"/>
      <c r="AE71" s="69"/>
      <c r="AF71" s="309"/>
      <c r="AG71" s="69"/>
      <c r="AH71" s="69">
        <f>Y71+AA71+AC71+(AE71/Baasandmed!$D$13)+AG71</f>
        <v>0</v>
      </c>
      <c r="AI71" s="112"/>
      <c r="AJ71" s="68" t="s">
        <v>471</v>
      </c>
      <c r="AK71" s="315">
        <v>1</v>
      </c>
      <c r="AL71" s="315">
        <v>3</v>
      </c>
      <c r="AM71" s="227">
        <f t="shared" si="16"/>
        <v>4</v>
      </c>
    </row>
    <row r="72" spans="2:39" ht="84" hidden="1" x14ac:dyDescent="0.25">
      <c r="B72" s="246">
        <v>10.6</v>
      </c>
      <c r="C72" s="51" t="s">
        <v>410</v>
      </c>
      <c r="D72" s="70" t="s">
        <v>472</v>
      </c>
      <c r="E72" s="110" t="s">
        <v>473</v>
      </c>
      <c r="F72" s="268">
        <v>1</v>
      </c>
      <c r="G72" s="268">
        <v>1</v>
      </c>
      <c r="H72" s="257">
        <f>H68*F72</f>
        <v>14129.349999999999</v>
      </c>
      <c r="I72" s="256">
        <f>I68*G72</f>
        <v>874384.75</v>
      </c>
      <c r="J72" s="189" t="s">
        <v>469</v>
      </c>
      <c r="K72" s="115" t="s">
        <v>575</v>
      </c>
      <c r="L72" s="115" t="s">
        <v>576</v>
      </c>
      <c r="M72" s="283"/>
      <c r="N72" s="145"/>
      <c r="O72" s="292"/>
      <c r="P72" s="145"/>
      <c r="Q72" s="284"/>
      <c r="R72" s="145"/>
      <c r="S72" s="295">
        <v>0</v>
      </c>
      <c r="T72" s="145">
        <f>S72*I72</f>
        <v>0</v>
      </c>
      <c r="U72" s="284"/>
      <c r="V72" s="145"/>
      <c r="W72" s="157">
        <f t="shared" ref="W72" si="18">N72+P72+R72+T72+V72</f>
        <v>0</v>
      </c>
      <c r="X72" s="301"/>
      <c r="Y72" s="172"/>
      <c r="Z72" s="301"/>
      <c r="AA72" s="172"/>
      <c r="AB72" s="301"/>
      <c r="AC72" s="173"/>
      <c r="AD72" s="309"/>
      <c r="AE72" s="69"/>
      <c r="AF72" s="309"/>
      <c r="AG72" s="69"/>
      <c r="AH72" s="69">
        <f>Y72+AA72+AC72+(AE72/Baasandmed!$D$13)+AG72</f>
        <v>0</v>
      </c>
      <c r="AI72" s="112"/>
      <c r="AJ72" s="68" t="s">
        <v>475</v>
      </c>
      <c r="AK72" s="315">
        <v>3</v>
      </c>
      <c r="AL72" s="315">
        <v>3</v>
      </c>
      <c r="AM72" s="227">
        <f t="shared" si="16"/>
        <v>6</v>
      </c>
    </row>
    <row r="73" spans="2:39" ht="48" hidden="1" x14ac:dyDescent="0.25">
      <c r="B73" s="246">
        <v>10.7</v>
      </c>
      <c r="C73" s="141" t="s">
        <v>410</v>
      </c>
      <c r="D73" s="133" t="s">
        <v>476</v>
      </c>
      <c r="E73" s="134" t="s">
        <v>477</v>
      </c>
      <c r="F73" s="270"/>
      <c r="G73" s="270"/>
      <c r="H73" s="258"/>
      <c r="I73" s="259"/>
      <c r="J73" s="190" t="s">
        <v>469</v>
      </c>
      <c r="K73" s="135" t="s">
        <v>577</v>
      </c>
      <c r="L73" s="135" t="s">
        <v>578</v>
      </c>
      <c r="M73" s="285"/>
      <c r="N73" s="146"/>
      <c r="O73" s="293"/>
      <c r="P73" s="146"/>
      <c r="Q73" s="285"/>
      <c r="R73" s="146"/>
      <c r="S73" s="285"/>
      <c r="T73" s="146"/>
      <c r="U73" s="297"/>
      <c r="V73" s="147"/>
      <c r="W73" s="204"/>
      <c r="X73" s="302"/>
      <c r="Y73" s="174"/>
      <c r="Z73" s="302"/>
      <c r="AA73" s="174"/>
      <c r="AB73" s="302"/>
      <c r="AC73" s="175"/>
      <c r="AD73" s="310"/>
      <c r="AE73" s="137"/>
      <c r="AF73" s="310"/>
      <c r="AG73" s="137"/>
      <c r="AH73" s="69">
        <f>Y73+AA73+AC73+(AE73/Baasandmed!$D$13)+AG73</f>
        <v>0</v>
      </c>
      <c r="AI73" s="138"/>
      <c r="AJ73" s="136" t="s">
        <v>478</v>
      </c>
      <c r="AK73" s="316">
        <v>1</v>
      </c>
      <c r="AL73" s="320">
        <v>3</v>
      </c>
      <c r="AM73" s="228">
        <f t="shared" si="16"/>
        <v>4</v>
      </c>
    </row>
    <row r="74" spans="2:39" ht="90.75" thickBot="1" x14ac:dyDescent="0.3">
      <c r="B74" s="246">
        <v>11.1</v>
      </c>
      <c r="C74" s="156" t="s">
        <v>411</v>
      </c>
      <c r="D74" s="207" t="s">
        <v>209</v>
      </c>
      <c r="E74" s="214" t="s">
        <v>286</v>
      </c>
      <c r="F74" s="266"/>
      <c r="G74" s="267">
        <v>1</v>
      </c>
      <c r="H74" s="264"/>
      <c r="I74" s="254">
        <f>(Baasandmed!$L$3*Baasandmed!$M$3+Baasandmed!$L$10*Baasandmed!$M$10+Baasandmed!$L$14*Baasandmed!$M$14+Baasandmed!$L$17*Baasandmed!$M$17+Baasandmed!$L$19*Baasandmed!$M$19+Baasandmed!$L$20*Baasandmed!$M$20)*G74</f>
        <v>464749.49999999994</v>
      </c>
      <c r="J74" s="188" t="s">
        <v>450</v>
      </c>
      <c r="K74" s="132" t="s">
        <v>451</v>
      </c>
      <c r="L74" s="132" t="s">
        <v>579</v>
      </c>
      <c r="M74" s="281"/>
      <c r="N74" s="143"/>
      <c r="O74" s="290"/>
      <c r="P74" s="143"/>
      <c r="Q74" s="281"/>
      <c r="R74" s="143"/>
      <c r="S74" s="281"/>
      <c r="T74" s="143"/>
      <c r="U74" s="281"/>
      <c r="V74" s="143"/>
      <c r="W74" s="158"/>
      <c r="X74" s="300">
        <v>0</v>
      </c>
      <c r="Y74" s="213">
        <f>X74*Baasandmed!$D$7</f>
        <v>0</v>
      </c>
      <c r="Z74" s="300">
        <v>0</v>
      </c>
      <c r="AA74" s="251">
        <f>Z74*Baasandmed!$D$7</f>
        <v>0</v>
      </c>
      <c r="AB74" s="307">
        <f>2300*1.2</f>
        <v>2760</v>
      </c>
      <c r="AC74" s="336">
        <f>AB74*Baasandmed!$D$7</f>
        <v>36045.599999999999</v>
      </c>
      <c r="AD74" s="348">
        <v>2500</v>
      </c>
      <c r="AE74" s="349">
        <f>AD74*Baasandmed!$D$10</f>
        <v>162500</v>
      </c>
      <c r="AF74" s="338">
        <v>40</v>
      </c>
      <c r="AG74" s="170">
        <f>AF74*Baasandmed!$D$10</f>
        <v>2600</v>
      </c>
      <c r="AH74" s="171">
        <f>Y74+AA74+AC74+(AE74/Baasandmed!$D$13)+AG74</f>
        <v>71145.600000000006</v>
      </c>
      <c r="AI74" s="180">
        <f>SUM(W74:W80)-AH74</f>
        <v>85764.940499999997</v>
      </c>
      <c r="AJ74" s="167" t="s">
        <v>580</v>
      </c>
      <c r="AK74" s="313">
        <v>4</v>
      </c>
      <c r="AL74" s="319">
        <v>3</v>
      </c>
      <c r="AM74" s="227">
        <f t="shared" si="16"/>
        <v>7</v>
      </c>
    </row>
    <row r="75" spans="2:39" ht="96" hidden="1" x14ac:dyDescent="0.25">
      <c r="B75" s="246">
        <v>11.2</v>
      </c>
      <c r="C75" s="50" t="s">
        <v>411</v>
      </c>
      <c r="D75" s="70" t="s">
        <v>454</v>
      </c>
      <c r="E75" s="110" t="s">
        <v>455</v>
      </c>
      <c r="F75" s="268">
        <v>0.95</v>
      </c>
      <c r="G75" s="268">
        <v>0.95</v>
      </c>
      <c r="H75" s="255">
        <f>Baasandmed!$K$3*F75</f>
        <v>4431.75</v>
      </c>
      <c r="I75" s="256">
        <f>I74*G75</f>
        <v>441512.02499999991</v>
      </c>
      <c r="J75" s="189" t="s">
        <v>450</v>
      </c>
      <c r="K75" s="115" t="s">
        <v>581</v>
      </c>
      <c r="L75" s="115" t="s">
        <v>582</v>
      </c>
      <c r="M75" s="282">
        <v>0</v>
      </c>
      <c r="N75" s="144">
        <f>((M75/Baasandmed!$N$3)*Baasandmed!$P$3)+((M75/Baasandmed!$N$11)*Baasandmed!$P$11)+((M75/Baasandmed!$N$12)*Baasandmed!$P$12)+((M75/Baasandmed!$N$17)*Baasandmed!$P$17)</f>
        <v>0</v>
      </c>
      <c r="O75" s="291">
        <v>0</v>
      </c>
      <c r="P75" s="144"/>
      <c r="Q75" s="291">
        <v>0</v>
      </c>
      <c r="R75" s="144">
        <f>(Baasandmed!$G$66+Baasandmed!$G$67+Baasandmed!$G$71+Baasandmed!$G$72+Baasandmed!$G$76+Baasandmed!$G$77+Baasandmed!$G$81+Baasandmed!$G$82+Baasandmed!$G$86+Baasandmed!$G$87+Baasandmed!$G$91+Baasandmed!$G$92+Baasandmed!$G$96+Baasandmed!$G$97+Baasandmed!$G$101+Baasandmed!$G$102)*Majandusanalüüs!Q75</f>
        <v>0</v>
      </c>
      <c r="S75" s="283"/>
      <c r="T75" s="144"/>
      <c r="U75" s="296">
        <v>0.5</v>
      </c>
      <c r="V75" s="145">
        <f>H75*U75*Baasandmed!$D$4</f>
        <v>21715.575000000001</v>
      </c>
      <c r="W75" s="157">
        <f>N75+P75+R75+T75+V75</f>
        <v>21715.575000000001</v>
      </c>
      <c r="X75" s="301"/>
      <c r="Y75" s="172"/>
      <c r="Z75" s="301"/>
      <c r="AA75" s="172"/>
      <c r="AB75" s="301"/>
      <c r="AC75" s="173"/>
      <c r="AD75" s="340"/>
      <c r="AE75" s="341"/>
      <c r="AF75" s="309"/>
      <c r="AG75" s="69"/>
      <c r="AH75" s="69">
        <f>Y75+AA75+AC75+(AE75/Baasandmed!$D$13)+AG75</f>
        <v>0</v>
      </c>
      <c r="AI75" s="111"/>
      <c r="AJ75" s="167" t="s">
        <v>583</v>
      </c>
      <c r="AK75" s="314">
        <v>3</v>
      </c>
      <c r="AL75" s="315">
        <v>3</v>
      </c>
      <c r="AM75" s="227">
        <f t="shared" si="16"/>
        <v>6</v>
      </c>
    </row>
    <row r="76" spans="2:39" ht="96" hidden="1" x14ac:dyDescent="0.25">
      <c r="B76" s="246">
        <v>11.3</v>
      </c>
      <c r="C76" s="50" t="s">
        <v>411</v>
      </c>
      <c r="D76" s="70" t="s">
        <v>459</v>
      </c>
      <c r="E76" s="110" t="s">
        <v>460</v>
      </c>
      <c r="F76" s="268">
        <v>0.2</v>
      </c>
      <c r="G76" s="268">
        <v>0.4</v>
      </c>
      <c r="H76" s="255">
        <f>H75*F76</f>
        <v>886.35</v>
      </c>
      <c r="I76" s="256">
        <f>I75*G76</f>
        <v>176604.80999999997</v>
      </c>
      <c r="J76" s="189" t="s">
        <v>450</v>
      </c>
      <c r="K76" s="115" t="s">
        <v>581</v>
      </c>
      <c r="L76" s="115" t="s">
        <v>584</v>
      </c>
      <c r="M76" s="283"/>
      <c r="N76" s="145"/>
      <c r="O76" s="292"/>
      <c r="P76" s="145"/>
      <c r="Q76" s="284"/>
      <c r="R76" s="145"/>
      <c r="S76" s="284"/>
      <c r="T76" s="145"/>
      <c r="U76" s="296">
        <v>0.5</v>
      </c>
      <c r="V76" s="145">
        <f>H76*U76*Baasandmed!$D$7</f>
        <v>5787.8655000000008</v>
      </c>
      <c r="W76" s="157">
        <f t="shared" ref="W76:W80" si="19">N76+P76+R76+T76+V76</f>
        <v>5787.8655000000008</v>
      </c>
      <c r="X76" s="301"/>
      <c r="Y76" s="172"/>
      <c r="Z76" s="301"/>
      <c r="AA76" s="172"/>
      <c r="AB76" s="301"/>
      <c r="AC76" s="173"/>
      <c r="AD76" s="309"/>
      <c r="AE76" s="69"/>
      <c r="AF76" s="309"/>
      <c r="AG76" s="69"/>
      <c r="AH76" s="69">
        <f>Y76+AA76+AC76+(AE76/Baasandmed!$D$13)+AG76</f>
        <v>0</v>
      </c>
      <c r="AI76" s="112"/>
      <c r="AJ76" s="68" t="s">
        <v>462</v>
      </c>
      <c r="AK76" s="315">
        <v>3</v>
      </c>
      <c r="AL76" s="315">
        <v>3</v>
      </c>
      <c r="AM76" s="227">
        <f t="shared" si="16"/>
        <v>6</v>
      </c>
    </row>
    <row r="77" spans="2:39" ht="96" hidden="1" x14ac:dyDescent="0.25">
      <c r="B77" s="246">
        <v>11.4</v>
      </c>
      <c r="C77" s="50" t="s">
        <v>411</v>
      </c>
      <c r="D77" s="70" t="s">
        <v>463</v>
      </c>
      <c r="E77" s="110" t="s">
        <v>464</v>
      </c>
      <c r="F77" s="268">
        <v>1</v>
      </c>
      <c r="G77" s="268">
        <v>1</v>
      </c>
      <c r="H77" s="255">
        <f>$H$75*F77</f>
        <v>4431.75</v>
      </c>
      <c r="I77" s="256">
        <f>I75*G77</f>
        <v>441512.02499999991</v>
      </c>
      <c r="J77" s="189" t="s">
        <v>450</v>
      </c>
      <c r="K77" s="115" t="s">
        <v>581</v>
      </c>
      <c r="L77" s="115" t="s">
        <v>585</v>
      </c>
      <c r="M77" s="283"/>
      <c r="N77" s="145"/>
      <c r="O77" s="292"/>
      <c r="P77" s="145"/>
      <c r="Q77" s="284"/>
      <c r="R77" s="145"/>
      <c r="S77" s="284"/>
      <c r="T77" s="145"/>
      <c r="U77" s="296">
        <v>0.5</v>
      </c>
      <c r="V77" s="145">
        <f>H77*U77*Baasandmed!$D$7</f>
        <v>28939.327499999999</v>
      </c>
      <c r="W77" s="157">
        <f t="shared" si="19"/>
        <v>28939.327499999999</v>
      </c>
      <c r="X77" s="301"/>
      <c r="Y77" s="172"/>
      <c r="Z77" s="301"/>
      <c r="AA77" s="172"/>
      <c r="AB77" s="301"/>
      <c r="AC77" s="173"/>
      <c r="AD77" s="309"/>
      <c r="AE77" s="69"/>
      <c r="AF77" s="309"/>
      <c r="AG77" s="69"/>
      <c r="AH77" s="69">
        <f>Y77+AA77+AC77+(AE77/Baasandmed!$D$13)+AG77</f>
        <v>0</v>
      </c>
      <c r="AI77" s="112"/>
      <c r="AJ77" s="71" t="s">
        <v>586</v>
      </c>
      <c r="AK77" s="315">
        <v>2</v>
      </c>
      <c r="AL77" s="315">
        <v>3</v>
      </c>
      <c r="AM77" s="227">
        <f t="shared" si="16"/>
        <v>5</v>
      </c>
    </row>
    <row r="78" spans="2:39" ht="63.75" hidden="1" x14ac:dyDescent="0.25">
      <c r="B78" s="246">
        <v>11.5</v>
      </c>
      <c r="C78" s="50" t="s">
        <v>411</v>
      </c>
      <c r="D78" s="70" t="s">
        <v>467</v>
      </c>
      <c r="E78" s="110" t="s">
        <v>468</v>
      </c>
      <c r="F78" s="268">
        <v>1</v>
      </c>
      <c r="G78" s="268">
        <v>1</v>
      </c>
      <c r="H78" s="255">
        <f>$H$75*F78</f>
        <v>4431.75</v>
      </c>
      <c r="I78" s="256"/>
      <c r="J78" s="189" t="s">
        <v>469</v>
      </c>
      <c r="K78" s="115" t="s">
        <v>587</v>
      </c>
      <c r="L78" s="115" t="s">
        <v>584</v>
      </c>
      <c r="M78" s="284"/>
      <c r="N78" s="145"/>
      <c r="O78" s="292"/>
      <c r="P78" s="145"/>
      <c r="Q78" s="284"/>
      <c r="R78" s="145"/>
      <c r="S78" s="284"/>
      <c r="T78" s="145"/>
      <c r="U78" s="296">
        <v>0.5</v>
      </c>
      <c r="V78" s="145">
        <f>H78*U78*Baasandmed!$D$6</f>
        <v>44162.388749999998</v>
      </c>
      <c r="W78" s="157">
        <f t="shared" si="19"/>
        <v>44162.388749999998</v>
      </c>
      <c r="X78" s="301"/>
      <c r="Y78" s="172"/>
      <c r="Z78" s="301"/>
      <c r="AA78" s="172"/>
      <c r="AB78" s="301"/>
      <c r="AC78" s="173"/>
      <c r="AD78" s="309"/>
      <c r="AE78" s="69"/>
      <c r="AF78" s="309"/>
      <c r="AG78" s="69"/>
      <c r="AH78" s="69">
        <f>Y78+AA78+AC78+(AE78/Baasandmed!$D$13)+AG78</f>
        <v>0</v>
      </c>
      <c r="AI78" s="112"/>
      <c r="AJ78" s="68" t="s">
        <v>536</v>
      </c>
      <c r="AK78" s="315">
        <v>1</v>
      </c>
      <c r="AL78" s="315">
        <v>3</v>
      </c>
      <c r="AM78" s="227">
        <f t="shared" si="16"/>
        <v>4</v>
      </c>
    </row>
    <row r="79" spans="2:39" ht="96" hidden="1" x14ac:dyDescent="0.25">
      <c r="B79" s="246">
        <v>11.6</v>
      </c>
      <c r="C79" s="50" t="s">
        <v>411</v>
      </c>
      <c r="D79" s="70" t="s">
        <v>472</v>
      </c>
      <c r="E79" s="110" t="s">
        <v>588</v>
      </c>
      <c r="F79" s="268">
        <v>1</v>
      </c>
      <c r="G79" s="268">
        <v>1</v>
      </c>
      <c r="H79" s="255">
        <f>$H$75*F79</f>
        <v>4431.75</v>
      </c>
      <c r="I79" s="256">
        <f>I75*G79</f>
        <v>441512.02499999991</v>
      </c>
      <c r="J79" s="189" t="s">
        <v>469</v>
      </c>
      <c r="K79" s="115" t="s">
        <v>581</v>
      </c>
      <c r="L79" s="115" t="s">
        <v>584</v>
      </c>
      <c r="M79" s="283"/>
      <c r="N79" s="145"/>
      <c r="O79" s="292"/>
      <c r="P79" s="145"/>
      <c r="Q79" s="284"/>
      <c r="R79" s="145"/>
      <c r="S79" s="295">
        <v>0</v>
      </c>
      <c r="T79" s="145">
        <f>S79*I79</f>
        <v>0</v>
      </c>
      <c r="U79" s="296">
        <v>0.5</v>
      </c>
      <c r="V79" s="145">
        <f>H79*U79*Baasandmed!$D$8</f>
        <v>32794.950000000004</v>
      </c>
      <c r="W79" s="157">
        <f t="shared" si="19"/>
        <v>32794.950000000004</v>
      </c>
      <c r="X79" s="301"/>
      <c r="Y79" s="172"/>
      <c r="Z79" s="301"/>
      <c r="AA79" s="172"/>
      <c r="AB79" s="301"/>
      <c r="AC79" s="173"/>
      <c r="AD79" s="309"/>
      <c r="AE79" s="69"/>
      <c r="AF79" s="309"/>
      <c r="AG79" s="69"/>
      <c r="AH79" s="69">
        <f>Y79+AA79+AC79+(AE79/Baasandmed!$D$13)+AG79</f>
        <v>0</v>
      </c>
      <c r="AI79" s="112"/>
      <c r="AJ79" s="68" t="s">
        <v>589</v>
      </c>
      <c r="AK79" s="315">
        <v>3</v>
      </c>
      <c r="AL79" s="315">
        <v>3</v>
      </c>
      <c r="AM79" s="227">
        <f t="shared" si="16"/>
        <v>6</v>
      </c>
    </row>
    <row r="80" spans="2:39" ht="38.25" hidden="1" x14ac:dyDescent="0.25">
      <c r="B80" s="246">
        <v>11.7</v>
      </c>
      <c r="C80" s="126" t="s">
        <v>411</v>
      </c>
      <c r="D80" s="133" t="s">
        <v>476</v>
      </c>
      <c r="E80" s="134" t="s">
        <v>477</v>
      </c>
      <c r="F80" s="273">
        <v>1</v>
      </c>
      <c r="G80" s="273">
        <v>1</v>
      </c>
      <c r="H80" s="262">
        <f>$H$75*F80</f>
        <v>4431.75</v>
      </c>
      <c r="I80" s="259"/>
      <c r="J80" s="190" t="s">
        <v>469</v>
      </c>
      <c r="K80" s="135" t="s">
        <v>470</v>
      </c>
      <c r="L80" s="135" t="s">
        <v>584</v>
      </c>
      <c r="M80" s="285"/>
      <c r="N80" s="146"/>
      <c r="O80" s="293"/>
      <c r="P80" s="146"/>
      <c r="Q80" s="285"/>
      <c r="R80" s="146"/>
      <c r="S80" s="285"/>
      <c r="T80" s="146"/>
      <c r="U80" s="298">
        <v>0.5</v>
      </c>
      <c r="V80" s="147">
        <f>H80*U80*Baasandmed!$D$5</f>
        <v>23510.43375</v>
      </c>
      <c r="W80" s="204">
        <f t="shared" si="19"/>
        <v>23510.43375</v>
      </c>
      <c r="X80" s="302"/>
      <c r="Y80" s="174"/>
      <c r="Z80" s="302"/>
      <c r="AA80" s="174"/>
      <c r="AB80" s="302"/>
      <c r="AC80" s="175"/>
      <c r="AD80" s="310"/>
      <c r="AE80" s="137"/>
      <c r="AF80" s="310"/>
      <c r="AG80" s="137"/>
      <c r="AH80" s="69">
        <f>Y80+AA80+AC80+(AE80/Baasandmed!$D$13)+AG80</f>
        <v>0</v>
      </c>
      <c r="AI80" s="138"/>
      <c r="AJ80" s="136" t="s">
        <v>519</v>
      </c>
      <c r="AK80" s="316">
        <v>1</v>
      </c>
      <c r="AL80" s="320">
        <v>3</v>
      </c>
      <c r="AM80" s="228">
        <f t="shared" si="16"/>
        <v>4</v>
      </c>
    </row>
    <row r="81" spans="2:39" ht="109.5" thickBot="1" x14ac:dyDescent="0.3">
      <c r="B81" s="246">
        <v>12.1</v>
      </c>
      <c r="C81" s="156" t="s">
        <v>164</v>
      </c>
      <c r="D81" s="207" t="s">
        <v>209</v>
      </c>
      <c r="E81" s="214" t="s">
        <v>270</v>
      </c>
      <c r="F81" s="266"/>
      <c r="G81" s="267">
        <v>1</v>
      </c>
      <c r="H81" s="253"/>
      <c r="I81" s="254">
        <f>Baasandmed!$L$26*G81</f>
        <v>920405</v>
      </c>
      <c r="J81" s="188" t="s">
        <v>450</v>
      </c>
      <c r="K81" s="187" t="s">
        <v>590</v>
      </c>
      <c r="L81" s="187" t="s">
        <v>591</v>
      </c>
      <c r="M81" s="281"/>
      <c r="N81" s="143"/>
      <c r="O81" s="290"/>
      <c r="P81" s="143"/>
      <c r="Q81" s="281"/>
      <c r="R81" s="143"/>
      <c r="S81" s="281"/>
      <c r="T81" s="143"/>
      <c r="U81" s="281"/>
      <c r="V81" s="143"/>
      <c r="W81" s="158"/>
      <c r="X81" s="300">
        <v>0</v>
      </c>
      <c r="Y81" s="213">
        <f>X81*Baasandmed!$D$10</f>
        <v>0</v>
      </c>
      <c r="Z81" s="300">
        <v>160</v>
      </c>
      <c r="AA81" s="251">
        <f>Z81*Baasandmed!$D$10</f>
        <v>10400</v>
      </c>
      <c r="AB81" s="307">
        <v>480</v>
      </c>
      <c r="AC81" s="336">
        <f>AB81*Baasandmed!$D$7</f>
        <v>6268.8</v>
      </c>
      <c r="AD81" s="348">
        <v>2000</v>
      </c>
      <c r="AE81" s="349">
        <f>AD81*Baasandmed!$D$10</f>
        <v>130000</v>
      </c>
      <c r="AF81" s="338">
        <v>40</v>
      </c>
      <c r="AG81" s="170">
        <f>AF81*Baasandmed!$D$10</f>
        <v>2600</v>
      </c>
      <c r="AH81" s="171">
        <f>Y81+AA81+AC81+(AE81/Baasandmed!$D$13)+AG81</f>
        <v>45268.800000000003</v>
      </c>
      <c r="AI81" s="180">
        <f>SUM(W81:W87)-AH81</f>
        <v>12651324.717852496</v>
      </c>
      <c r="AJ81" s="167" t="s">
        <v>592</v>
      </c>
      <c r="AK81" s="318">
        <v>3</v>
      </c>
      <c r="AL81" s="319">
        <v>2</v>
      </c>
      <c r="AM81" s="227">
        <f t="shared" si="16"/>
        <v>5</v>
      </c>
    </row>
    <row r="82" spans="2:39" ht="72.75" hidden="1" x14ac:dyDescent="0.25">
      <c r="B82" s="246">
        <v>12.2</v>
      </c>
      <c r="C82" s="50" t="s">
        <v>164</v>
      </c>
      <c r="D82" s="70" t="s">
        <v>454</v>
      </c>
      <c r="E82" s="110" t="s">
        <v>593</v>
      </c>
      <c r="F82" s="268">
        <v>0.95</v>
      </c>
      <c r="G82" s="268">
        <v>0.95</v>
      </c>
      <c r="H82" s="255">
        <f>Baasandmed!$K$26*F82</f>
        <v>14129.349999999999</v>
      </c>
      <c r="I82" s="256">
        <f>I81*G82</f>
        <v>874384.75</v>
      </c>
      <c r="J82" s="189" t="s">
        <v>450</v>
      </c>
      <c r="K82" s="186" t="s">
        <v>594</v>
      </c>
      <c r="L82" s="186" t="s">
        <v>595</v>
      </c>
      <c r="M82" s="286">
        <v>0.1</v>
      </c>
      <c r="N82" s="144">
        <f>((M82/Baasandmed!$N$3)*Baasandmed!$P$3)+((M82/Baasandmed!$N$11)*Baasandmed!$P$11)+((M82/Baasandmed!$N$12)*Baasandmed!$P$12)+((M82/Baasandmed!$N$17)*Baasandmed!$P$17)</f>
        <v>8249640.9192699986</v>
      </c>
      <c r="O82" s="291">
        <v>0.05</v>
      </c>
      <c r="P82" s="144">
        <f>(SUM(Baasandmed!$G$30:$G$63))*O82</f>
        <v>3575208.4905274995</v>
      </c>
      <c r="Q82" s="291">
        <v>0</v>
      </c>
      <c r="R82" s="144">
        <f>(Baasandmed!$G$66+Baasandmed!$G$67+Baasandmed!$G$71+Baasandmed!$G$72+Baasandmed!$G$76+Baasandmed!$G$77+Baasandmed!$G$81+Baasandmed!$G$82+Baasandmed!$G$86+Baasandmed!$G$87+Baasandmed!$G$91+Baasandmed!$G$92+Baasandmed!$G$96+Baasandmed!$G$97+Baasandmed!$G$101+Baasandmed!$G$102)*Majandusanalüüs!Q82</f>
        <v>0</v>
      </c>
      <c r="S82" s="283"/>
      <c r="T82" s="144"/>
      <c r="U82" s="296">
        <v>0.16</v>
      </c>
      <c r="V82" s="145">
        <f>(U82*(I82/10))*Baasandmed!$D$4</f>
        <v>137103.52880000003</v>
      </c>
      <c r="W82" s="157">
        <f>N82+P82+R82+T82+V82</f>
        <v>11961952.938597497</v>
      </c>
      <c r="X82" s="303"/>
      <c r="Y82" s="176"/>
      <c r="Z82" s="303"/>
      <c r="AA82" s="176"/>
      <c r="AB82" s="303"/>
      <c r="AC82" s="177"/>
      <c r="AD82" s="342"/>
      <c r="AE82" s="343"/>
      <c r="AF82" s="303"/>
      <c r="AG82" s="177"/>
      <c r="AH82" s="69">
        <f>Y82+AA82+AC82+(AE82/Baasandmed!$D$13)+AG82</f>
        <v>0</v>
      </c>
      <c r="AI82" s="113"/>
      <c r="AJ82" s="167" t="s">
        <v>596</v>
      </c>
      <c r="AK82" s="314">
        <v>2</v>
      </c>
      <c r="AL82" s="315">
        <v>2</v>
      </c>
      <c r="AM82" s="227">
        <f t="shared" si="16"/>
        <v>4</v>
      </c>
    </row>
    <row r="83" spans="2:39" ht="36" hidden="1" x14ac:dyDescent="0.25">
      <c r="B83" s="246">
        <v>12.3</v>
      </c>
      <c r="C83" s="50" t="s">
        <v>164</v>
      </c>
      <c r="D83" s="70" t="s">
        <v>459</v>
      </c>
      <c r="E83" s="110" t="s">
        <v>460</v>
      </c>
      <c r="F83" s="268">
        <v>0.2</v>
      </c>
      <c r="G83" s="268">
        <v>0.6</v>
      </c>
      <c r="H83" s="255">
        <f>H82*F83</f>
        <v>2825.87</v>
      </c>
      <c r="I83" s="256">
        <f>I82*G83</f>
        <v>524630.85</v>
      </c>
      <c r="J83" s="189" t="s">
        <v>450</v>
      </c>
      <c r="K83" s="115" t="s">
        <v>485</v>
      </c>
      <c r="L83" s="186" t="s">
        <v>470</v>
      </c>
      <c r="M83" s="283"/>
      <c r="N83" s="145"/>
      <c r="O83" s="292"/>
      <c r="P83" s="145"/>
      <c r="Q83" s="284"/>
      <c r="R83" s="145"/>
      <c r="S83" s="284"/>
      <c r="T83" s="145"/>
      <c r="U83" s="296">
        <v>0.05</v>
      </c>
      <c r="V83" s="145">
        <f>(U83*(I83/10))*Baasandmed!$D$7</f>
        <v>34258.394505000004</v>
      </c>
      <c r="W83" s="157">
        <f t="shared" ref="W83:W87" si="20">N83+P83+R83+T83+V83</f>
        <v>34258.394505000004</v>
      </c>
      <c r="X83" s="303"/>
      <c r="Y83" s="176"/>
      <c r="Z83" s="303"/>
      <c r="AA83" s="176"/>
      <c r="AB83" s="303"/>
      <c r="AC83" s="177"/>
      <c r="AD83" s="303"/>
      <c r="AE83" s="177"/>
      <c r="AF83" s="303"/>
      <c r="AG83" s="177"/>
      <c r="AH83" s="69">
        <f>Y83+AA83+AC83+(AE83/Baasandmed!$D$13)+AG83</f>
        <v>0</v>
      </c>
      <c r="AI83" s="113"/>
      <c r="AJ83" s="68" t="s">
        <v>462</v>
      </c>
      <c r="AK83" s="315">
        <v>1</v>
      </c>
      <c r="AL83" s="315">
        <v>2</v>
      </c>
      <c r="AM83" s="227">
        <f t="shared" si="16"/>
        <v>3</v>
      </c>
    </row>
    <row r="84" spans="2:39" ht="108" hidden="1" x14ac:dyDescent="0.25">
      <c r="B84" s="246">
        <v>12.4</v>
      </c>
      <c r="C84" s="50" t="s">
        <v>164</v>
      </c>
      <c r="D84" s="70" t="s">
        <v>463</v>
      </c>
      <c r="E84" s="110" t="s">
        <v>597</v>
      </c>
      <c r="F84" s="268">
        <v>1</v>
      </c>
      <c r="G84" s="268">
        <v>1</v>
      </c>
      <c r="H84" s="255">
        <f>H82*F84</f>
        <v>14129.349999999999</v>
      </c>
      <c r="I84" s="256">
        <f>I82*G84</f>
        <v>874384.75</v>
      </c>
      <c r="J84" s="189" t="s">
        <v>450</v>
      </c>
      <c r="K84" s="115" t="s">
        <v>598</v>
      </c>
      <c r="L84" s="186" t="s">
        <v>599</v>
      </c>
      <c r="M84" s="283"/>
      <c r="N84" s="145"/>
      <c r="O84" s="292"/>
      <c r="P84" s="145"/>
      <c r="Q84" s="284"/>
      <c r="R84" s="145"/>
      <c r="S84" s="284"/>
      <c r="T84" s="145"/>
      <c r="U84" s="296">
        <v>0.5</v>
      </c>
      <c r="V84" s="145">
        <f>(U84*(I84/10))*Baasandmed!$D$7</f>
        <v>570973.24175000004</v>
      </c>
      <c r="W84" s="157">
        <f t="shared" si="20"/>
        <v>570973.24175000004</v>
      </c>
      <c r="X84" s="303"/>
      <c r="Y84" s="176"/>
      <c r="Z84" s="303"/>
      <c r="AA84" s="176"/>
      <c r="AB84" s="303"/>
      <c r="AC84" s="177"/>
      <c r="AD84" s="303"/>
      <c r="AE84" s="177"/>
      <c r="AF84" s="303"/>
      <c r="AG84" s="177"/>
      <c r="AH84" s="69">
        <f>Y84+AA84+AC84+(AE84/Baasandmed!$D$13)+AG84</f>
        <v>0</v>
      </c>
      <c r="AI84" s="113"/>
      <c r="AJ84" s="71" t="s">
        <v>586</v>
      </c>
      <c r="AK84" s="315">
        <v>2</v>
      </c>
      <c r="AL84" s="315">
        <v>2</v>
      </c>
      <c r="AM84" s="227">
        <f t="shared" si="16"/>
        <v>4</v>
      </c>
    </row>
    <row r="85" spans="2:39" ht="63.75" hidden="1" x14ac:dyDescent="0.25">
      <c r="B85" s="246">
        <v>12.5</v>
      </c>
      <c r="C85" s="50" t="s">
        <v>164</v>
      </c>
      <c r="D85" s="70" t="s">
        <v>467</v>
      </c>
      <c r="E85" s="110" t="s">
        <v>468</v>
      </c>
      <c r="F85" s="268">
        <v>0</v>
      </c>
      <c r="G85" s="269"/>
      <c r="H85" s="255">
        <f>H82*F85</f>
        <v>0</v>
      </c>
      <c r="I85" s="256"/>
      <c r="J85" s="189" t="s">
        <v>469</v>
      </c>
      <c r="K85" s="115" t="s">
        <v>470</v>
      </c>
      <c r="L85" s="186"/>
      <c r="M85" s="284"/>
      <c r="N85" s="145"/>
      <c r="O85" s="292"/>
      <c r="P85" s="145"/>
      <c r="Q85" s="284"/>
      <c r="R85" s="145"/>
      <c r="S85" s="284"/>
      <c r="T85" s="145"/>
      <c r="U85" s="296"/>
      <c r="V85" s="145"/>
      <c r="W85" s="157">
        <f t="shared" si="20"/>
        <v>0</v>
      </c>
      <c r="X85" s="303"/>
      <c r="Y85" s="176"/>
      <c r="Z85" s="303"/>
      <c r="AA85" s="176"/>
      <c r="AB85" s="303"/>
      <c r="AC85" s="177"/>
      <c r="AD85" s="303"/>
      <c r="AE85" s="177"/>
      <c r="AF85" s="303"/>
      <c r="AG85" s="177"/>
      <c r="AH85" s="69">
        <f>Y85+AA85+AC85+(AE85/Baasandmed!$D$13)+AG85</f>
        <v>0</v>
      </c>
      <c r="AI85" s="113"/>
      <c r="AJ85" s="68" t="s">
        <v>536</v>
      </c>
      <c r="AK85" s="315">
        <v>1</v>
      </c>
      <c r="AL85" s="315">
        <v>2</v>
      </c>
      <c r="AM85" s="227">
        <f t="shared" si="16"/>
        <v>3</v>
      </c>
    </row>
    <row r="86" spans="2:39" ht="108" hidden="1" x14ac:dyDescent="0.25">
      <c r="B86" s="246">
        <v>12.6</v>
      </c>
      <c r="C86" s="50" t="s">
        <v>164</v>
      </c>
      <c r="D86" s="70" t="s">
        <v>472</v>
      </c>
      <c r="E86" s="110" t="s">
        <v>588</v>
      </c>
      <c r="F86" s="268">
        <v>1</v>
      </c>
      <c r="G86" s="268">
        <v>1</v>
      </c>
      <c r="H86" s="257">
        <f>H82*F86</f>
        <v>14129.349999999999</v>
      </c>
      <c r="I86" s="256">
        <f>I82*G86</f>
        <v>874384.75</v>
      </c>
      <c r="J86" s="189" t="s">
        <v>469</v>
      </c>
      <c r="K86" s="115" t="s">
        <v>598</v>
      </c>
      <c r="L86" s="187" t="s">
        <v>591</v>
      </c>
      <c r="M86" s="283"/>
      <c r="N86" s="145"/>
      <c r="O86" s="292"/>
      <c r="P86" s="145"/>
      <c r="Q86" s="284"/>
      <c r="R86" s="145"/>
      <c r="S86" s="295">
        <v>0</v>
      </c>
      <c r="T86" s="145">
        <f>S86*I86</f>
        <v>0</v>
      </c>
      <c r="U86" s="296">
        <v>0.1</v>
      </c>
      <c r="V86" s="145">
        <f>(U86*(I86/10))*Baasandmed!$D$8</f>
        <v>129408.94300000003</v>
      </c>
      <c r="W86" s="157">
        <f t="shared" si="20"/>
        <v>129408.94300000003</v>
      </c>
      <c r="X86" s="303"/>
      <c r="Y86" s="176"/>
      <c r="Z86" s="303"/>
      <c r="AA86" s="176"/>
      <c r="AB86" s="303"/>
      <c r="AC86" s="177"/>
      <c r="AD86" s="303"/>
      <c r="AE86" s="177"/>
      <c r="AF86" s="303"/>
      <c r="AG86" s="177"/>
      <c r="AH86" s="69">
        <f>Y86+AA86+AC86+(AE86/Baasandmed!$D$13)+AG86</f>
        <v>0</v>
      </c>
      <c r="AI86" s="113"/>
      <c r="AJ86" s="68" t="s">
        <v>600</v>
      </c>
      <c r="AK86" s="315">
        <v>2</v>
      </c>
      <c r="AL86" s="315">
        <v>2</v>
      </c>
      <c r="AM86" s="227">
        <f t="shared" si="16"/>
        <v>4</v>
      </c>
    </row>
    <row r="87" spans="2:39" ht="38.25" hidden="1" x14ac:dyDescent="0.25">
      <c r="B87" s="246">
        <v>12.7</v>
      </c>
      <c r="C87" s="50" t="s">
        <v>164</v>
      </c>
      <c r="D87" s="133" t="s">
        <v>476</v>
      </c>
      <c r="E87" s="134" t="s">
        <v>477</v>
      </c>
      <c r="F87" s="270"/>
      <c r="G87" s="270"/>
      <c r="H87" s="258"/>
      <c r="I87" s="259"/>
      <c r="J87" s="190" t="s">
        <v>469</v>
      </c>
      <c r="K87" s="115" t="s">
        <v>470</v>
      </c>
      <c r="L87" s="202"/>
      <c r="M87" s="287"/>
      <c r="N87" s="203"/>
      <c r="O87" s="293"/>
      <c r="P87" s="203"/>
      <c r="Q87" s="293"/>
      <c r="R87" s="203"/>
      <c r="S87" s="285"/>
      <c r="T87" s="146"/>
      <c r="U87" s="298"/>
      <c r="V87" s="147"/>
      <c r="W87" s="204">
        <f t="shared" si="20"/>
        <v>0</v>
      </c>
      <c r="X87" s="304"/>
      <c r="Y87" s="178"/>
      <c r="Z87" s="304"/>
      <c r="AA87" s="178"/>
      <c r="AB87" s="304"/>
      <c r="AC87" s="179"/>
      <c r="AD87" s="304"/>
      <c r="AE87" s="179"/>
      <c r="AF87" s="304"/>
      <c r="AG87" s="179"/>
      <c r="AH87" s="69">
        <f>Y87+AA87+AC87+(AE87/Baasandmed!$D$13)+AG87</f>
        <v>0</v>
      </c>
      <c r="AI87" s="142"/>
      <c r="AJ87" s="136" t="s">
        <v>519</v>
      </c>
      <c r="AK87" s="316">
        <v>1</v>
      </c>
      <c r="AL87" s="320">
        <v>2</v>
      </c>
      <c r="AM87" s="228">
        <f t="shared" si="16"/>
        <v>3</v>
      </c>
    </row>
  </sheetData>
  <sheetProtection formatCells="0" formatColumns="0" formatRows="0" sort="0" autoFilter="0"/>
  <autoFilter ref="C3:AM87" xr:uid="{00000000-0009-0000-0000-000003000000}">
    <filterColumn colId="1">
      <filters>
        <filter val="Teenuse pidaja"/>
      </filters>
    </filterColumn>
  </autoFilter>
  <dataConsolidate/>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14F9-1700-49AE-83F9-77AC756DB6EA}">
  <sheetPr>
    <tabColor rgb="FF92D050"/>
  </sheetPr>
  <dimension ref="A1:E14"/>
  <sheetViews>
    <sheetView topLeftCell="A7" zoomScale="90" zoomScaleNormal="90" workbookViewId="0">
      <selection activeCell="E14" sqref="E14"/>
    </sheetView>
  </sheetViews>
  <sheetFormatPr defaultRowHeight="15" x14ac:dyDescent="0.25"/>
  <cols>
    <col min="1" max="1" width="24.5703125" style="83" customWidth="1"/>
    <col min="2" max="3" width="29" style="83" customWidth="1"/>
    <col min="4" max="4" width="77.28515625" bestFit="1" customWidth="1"/>
    <col min="5" max="5" width="61.85546875" customWidth="1"/>
  </cols>
  <sheetData>
    <row r="1" spans="1:5" ht="51" customHeight="1" x14ac:dyDescent="0.25">
      <c r="A1" s="480" t="s">
        <v>770</v>
      </c>
      <c r="B1" s="480"/>
      <c r="C1" s="480"/>
      <c r="D1" s="480"/>
      <c r="E1" s="480"/>
    </row>
    <row r="2" spans="1:5" ht="51" customHeight="1" x14ac:dyDescent="0.25">
      <c r="A2" s="475" t="s">
        <v>601</v>
      </c>
      <c r="B2" s="475" t="s">
        <v>602</v>
      </c>
      <c r="C2" s="475" t="s">
        <v>603</v>
      </c>
      <c r="D2" s="476" t="s">
        <v>604</v>
      </c>
      <c r="E2" s="475" t="s">
        <v>760</v>
      </c>
    </row>
    <row r="3" spans="1:5" ht="60" x14ac:dyDescent="0.25">
      <c r="A3" s="474" t="s">
        <v>605</v>
      </c>
      <c r="B3" s="474" t="s">
        <v>606</v>
      </c>
      <c r="C3" s="474" t="s">
        <v>788</v>
      </c>
      <c r="D3" s="478" t="s">
        <v>789</v>
      </c>
      <c r="E3" s="473" t="s">
        <v>765</v>
      </c>
    </row>
    <row r="4" spans="1:5" ht="60" x14ac:dyDescent="0.25">
      <c r="A4" s="477" t="s">
        <v>787</v>
      </c>
      <c r="B4" s="474" t="s">
        <v>607</v>
      </c>
      <c r="C4" s="474"/>
      <c r="D4" s="478" t="s">
        <v>790</v>
      </c>
      <c r="E4" s="473" t="s">
        <v>763</v>
      </c>
    </row>
    <row r="5" spans="1:5" ht="135" x14ac:dyDescent="0.25">
      <c r="A5" s="477" t="s">
        <v>796</v>
      </c>
      <c r="B5" s="477" t="s">
        <v>787</v>
      </c>
      <c r="C5" s="474"/>
      <c r="D5" s="478" t="s">
        <v>791</v>
      </c>
      <c r="E5" s="473" t="s">
        <v>764</v>
      </c>
    </row>
    <row r="6" spans="1:5" ht="90" x14ac:dyDescent="0.25">
      <c r="A6" s="474" t="s">
        <v>417</v>
      </c>
      <c r="B6" s="474" t="s">
        <v>608</v>
      </c>
      <c r="C6" s="474"/>
      <c r="D6" s="478" t="s">
        <v>609</v>
      </c>
      <c r="E6" s="473" t="s">
        <v>762</v>
      </c>
    </row>
    <row r="7" spans="1:5" ht="60" x14ac:dyDescent="0.25">
      <c r="A7" s="474" t="s">
        <v>417</v>
      </c>
      <c r="B7" s="474" t="s">
        <v>608</v>
      </c>
      <c r="C7" s="474"/>
      <c r="D7" s="478" t="s">
        <v>614</v>
      </c>
      <c r="E7" s="473" t="s">
        <v>761</v>
      </c>
    </row>
    <row r="8" spans="1:5" ht="60" x14ac:dyDescent="0.25">
      <c r="A8" s="474" t="s">
        <v>610</v>
      </c>
      <c r="B8" s="474" t="s">
        <v>611</v>
      </c>
      <c r="C8" s="474"/>
      <c r="D8" s="478" t="s">
        <v>792</v>
      </c>
      <c r="E8" s="473" t="s">
        <v>766</v>
      </c>
    </row>
    <row r="9" spans="1:5" ht="45" x14ac:dyDescent="0.25">
      <c r="A9" s="474" t="s">
        <v>610</v>
      </c>
      <c r="B9" s="474" t="s">
        <v>612</v>
      </c>
      <c r="C9" s="474" t="s">
        <v>613</v>
      </c>
      <c r="D9" s="479" t="s">
        <v>793</v>
      </c>
      <c r="E9" s="473" t="s">
        <v>767</v>
      </c>
    </row>
    <row r="10" spans="1:5" s="83" customFormat="1" ht="69.75" customHeight="1" x14ac:dyDescent="0.25">
      <c r="A10" s="474" t="s">
        <v>605</v>
      </c>
      <c r="B10" s="477" t="s">
        <v>612</v>
      </c>
      <c r="C10" s="474" t="s">
        <v>613</v>
      </c>
      <c r="D10" s="479" t="s">
        <v>794</v>
      </c>
      <c r="E10" s="473" t="s">
        <v>768</v>
      </c>
    </row>
    <row r="11" spans="1:5" ht="90" x14ac:dyDescent="0.25">
      <c r="A11" s="477" t="s">
        <v>787</v>
      </c>
      <c r="B11" s="474" t="s">
        <v>613</v>
      </c>
      <c r="C11" s="474"/>
      <c r="D11" s="478" t="s">
        <v>795</v>
      </c>
      <c r="E11" s="473" t="s">
        <v>769</v>
      </c>
    </row>
    <row r="12" spans="1:5" ht="90" x14ac:dyDescent="0.25">
      <c r="A12" s="474" t="s">
        <v>605</v>
      </c>
      <c r="B12" s="474" t="s">
        <v>606</v>
      </c>
      <c r="C12" s="474"/>
      <c r="D12" s="478" t="s">
        <v>784</v>
      </c>
      <c r="E12" s="473" t="s">
        <v>785</v>
      </c>
    </row>
    <row r="13" spans="1:5" ht="45" x14ac:dyDescent="0.25">
      <c r="A13" s="474" t="s">
        <v>605</v>
      </c>
      <c r="B13" s="474" t="s">
        <v>606</v>
      </c>
      <c r="C13" s="474"/>
      <c r="D13" s="478" t="s">
        <v>786</v>
      </c>
      <c r="E13" s="473" t="s">
        <v>797</v>
      </c>
    </row>
    <row r="14" spans="1:5" x14ac:dyDescent="0.25">
      <c r="D14" s="83"/>
      <c r="E14" s="83"/>
    </row>
  </sheetData>
  <mergeCells count="1">
    <mergeCell ref="A1:E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2:GV103"/>
  <sheetViews>
    <sheetView topLeftCell="C1" workbookViewId="0">
      <selection activeCell="K2" sqref="K2"/>
    </sheetView>
  </sheetViews>
  <sheetFormatPr defaultRowHeight="15" x14ac:dyDescent="0.25"/>
  <cols>
    <col min="2" max="2" width="35.85546875" customWidth="1"/>
    <col min="7" max="7" width="10.42578125" style="83" bestFit="1" customWidth="1"/>
    <col min="9" max="9" width="12.140625" customWidth="1"/>
    <col min="10" max="10" width="14.42578125" customWidth="1"/>
    <col min="11" max="11" width="9.85546875" style="83" customWidth="1"/>
    <col min="12" max="12" width="13" customWidth="1"/>
    <col min="13" max="13" width="14.5703125" style="83" customWidth="1"/>
    <col min="14" max="14" width="12.140625" customWidth="1"/>
    <col min="15" max="16" width="13.140625" style="83" customWidth="1"/>
    <col min="18" max="18" width="8.85546875" style="83"/>
    <col min="19" max="19" width="11.85546875" style="83" customWidth="1"/>
    <col min="20" max="20" width="10.85546875" style="83" customWidth="1"/>
    <col min="21" max="23" width="8.85546875" style="83"/>
    <col min="24" max="24" width="13.140625" bestFit="1" customWidth="1"/>
    <col min="25" max="25" width="11.42578125" bestFit="1" customWidth="1"/>
    <col min="26" max="26" width="9.140625" bestFit="1" customWidth="1"/>
    <col min="30" max="30" width="9.5703125" bestFit="1" customWidth="1"/>
  </cols>
  <sheetData>
    <row r="2" spans="2:204" ht="84.75" x14ac:dyDescent="0.25">
      <c r="B2" s="108" t="s">
        <v>615</v>
      </c>
      <c r="C2" s="78" t="s">
        <v>413</v>
      </c>
      <c r="D2" s="78" t="s">
        <v>616</v>
      </c>
      <c r="E2" s="78" t="s">
        <v>412</v>
      </c>
      <c r="F2" s="78" t="s">
        <v>617</v>
      </c>
      <c r="G2" s="159"/>
      <c r="H2" s="83"/>
      <c r="I2" s="79" t="s">
        <v>618</v>
      </c>
      <c r="J2" s="104" t="s">
        <v>619</v>
      </c>
      <c r="K2" s="104" t="s">
        <v>771</v>
      </c>
      <c r="L2" s="105" t="s">
        <v>620</v>
      </c>
      <c r="M2" s="104" t="s">
        <v>621</v>
      </c>
      <c r="N2" s="105" t="s">
        <v>622</v>
      </c>
      <c r="O2" s="105" t="s">
        <v>623</v>
      </c>
      <c r="P2" s="105" t="s">
        <v>624</v>
      </c>
      <c r="Q2" s="106" t="s">
        <v>625</v>
      </c>
      <c r="R2" s="221"/>
      <c r="S2" s="229" t="s">
        <v>626</v>
      </c>
      <c r="T2" s="229" t="s">
        <v>627</v>
      </c>
      <c r="U2" s="221"/>
      <c r="V2" s="221"/>
      <c r="W2" s="221"/>
      <c r="X2" s="83"/>
      <c r="Y2" s="109" t="s">
        <v>628</v>
      </c>
      <c r="Z2" s="107" t="s">
        <v>629</v>
      </c>
      <c r="AA2" s="107" t="s">
        <v>630</v>
      </c>
      <c r="AB2" s="107" t="s">
        <v>631</v>
      </c>
      <c r="AC2" s="107" t="s">
        <v>632</v>
      </c>
      <c r="AD2" s="107" t="s">
        <v>633</v>
      </c>
      <c r="AE2" s="107" t="s">
        <v>634</v>
      </c>
      <c r="AF2" s="107" t="s">
        <v>635</v>
      </c>
      <c r="AG2" s="107" t="s">
        <v>636</v>
      </c>
      <c r="AH2" s="107" t="s">
        <v>637</v>
      </c>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row>
    <row r="3" spans="2:204" s="48" customFormat="1" ht="23.25" customHeight="1" x14ac:dyDescent="0.25">
      <c r="B3" s="77" t="s">
        <v>638</v>
      </c>
      <c r="C3" s="50"/>
      <c r="D3" s="50"/>
      <c r="E3" s="50"/>
      <c r="F3" s="150"/>
      <c r="G3" s="160"/>
      <c r="H3" s="83"/>
      <c r="I3" s="80" t="s">
        <v>639</v>
      </c>
      <c r="J3" s="74">
        <v>4985</v>
      </c>
      <c r="K3" s="120">
        <v>4665</v>
      </c>
      <c r="L3" s="73">
        <v>350433</v>
      </c>
      <c r="M3" s="114">
        <v>0.95</v>
      </c>
      <c r="N3" s="117">
        <v>3.4601999999999999</v>
      </c>
      <c r="O3" s="118">
        <v>145.97999999999999</v>
      </c>
      <c r="P3" s="116">
        <f>(L3*M3)*N3*O3</f>
        <v>168160179.78035456</v>
      </c>
      <c r="Q3" s="74">
        <v>8.52</v>
      </c>
      <c r="R3" s="222"/>
      <c r="S3" s="230" t="s">
        <v>640</v>
      </c>
      <c r="T3" s="230">
        <v>10</v>
      </c>
      <c r="U3" s="222"/>
      <c r="V3" s="222"/>
      <c r="W3" s="222"/>
      <c r="X3" s="83"/>
      <c r="Y3" s="88" t="s">
        <v>641</v>
      </c>
      <c r="Z3" s="89">
        <v>56628.25</v>
      </c>
      <c r="AA3" s="89">
        <v>36451.25</v>
      </c>
      <c r="AB3" s="89">
        <v>8476.5</v>
      </c>
      <c r="AC3" s="89">
        <v>11700.5</v>
      </c>
      <c r="AD3" s="89">
        <v>458479.75</v>
      </c>
      <c r="AE3" s="89">
        <v>456173.66666666669</v>
      </c>
      <c r="AF3" s="89">
        <v>17121.333333333332</v>
      </c>
      <c r="AG3" s="89">
        <v>237.66666666666666</v>
      </c>
      <c r="AH3" s="89">
        <v>124.25</v>
      </c>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row>
    <row r="4" spans="2:204" s="48" customFormat="1" x14ac:dyDescent="0.25">
      <c r="B4" s="82" t="s">
        <v>642</v>
      </c>
      <c r="C4" s="100">
        <f>D4*1.3</f>
        <v>12.740000000000002</v>
      </c>
      <c r="D4" s="100">
        <v>9.8000000000000007</v>
      </c>
      <c r="E4" s="100">
        <f>D4*0.7</f>
        <v>6.86</v>
      </c>
      <c r="F4" s="151" t="s">
        <v>643</v>
      </c>
      <c r="G4" s="161"/>
      <c r="H4" s="83"/>
      <c r="I4" s="52" t="s">
        <v>644</v>
      </c>
      <c r="J4" s="74">
        <v>3230</v>
      </c>
      <c r="K4" s="120"/>
      <c r="L4" s="52">
        <v>154579</v>
      </c>
      <c r="M4" s="114">
        <v>0.95</v>
      </c>
      <c r="N4" s="121">
        <v>3.7320000000000002</v>
      </c>
      <c r="O4" s="102">
        <v>154.28538461538463</v>
      </c>
      <c r="P4" s="116">
        <f>(L4*M4)*N4*O4</f>
        <v>84555238.972883537</v>
      </c>
      <c r="Q4" s="74">
        <v>9.56</v>
      </c>
      <c r="R4" s="222"/>
      <c r="S4" s="230" t="s">
        <v>645</v>
      </c>
      <c r="T4" s="230">
        <v>15</v>
      </c>
      <c r="U4" s="222"/>
      <c r="V4" s="222"/>
      <c r="W4" s="222"/>
      <c r="X4" s="83"/>
      <c r="Y4" s="90" t="s">
        <v>646</v>
      </c>
      <c r="Z4" s="87"/>
      <c r="AA4" s="87"/>
      <c r="AB4" s="87"/>
      <c r="AC4" s="87"/>
      <c r="AD4" s="87"/>
      <c r="AE4" s="87"/>
      <c r="AF4" s="87"/>
      <c r="AG4" s="87"/>
      <c r="AH4" s="87"/>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row>
    <row r="5" spans="2:204" s="48" customFormat="1" x14ac:dyDescent="0.25">
      <c r="B5" s="75" t="s">
        <v>647</v>
      </c>
      <c r="C5" s="100">
        <f t="shared" ref="C5:C8" si="0">D5*1.3</f>
        <v>13.792999999999999</v>
      </c>
      <c r="D5" s="181">
        <v>10.61</v>
      </c>
      <c r="E5" s="100">
        <f t="shared" ref="E5:E8" si="1">D5*0.7</f>
        <v>7.4269999999999987</v>
      </c>
      <c r="F5" s="151" t="s">
        <v>643</v>
      </c>
      <c r="G5" s="161"/>
      <c r="H5" s="83"/>
      <c r="I5" s="52" t="s">
        <v>648</v>
      </c>
      <c r="J5" s="74">
        <v>429</v>
      </c>
      <c r="K5" s="120"/>
      <c r="L5" s="52">
        <v>10854</v>
      </c>
      <c r="M5" s="114">
        <v>0.95</v>
      </c>
      <c r="N5" s="121">
        <v>3.2601999999999998</v>
      </c>
      <c r="O5" s="102">
        <v>133.58333333333334</v>
      </c>
      <c r="P5" s="116">
        <f t="shared" ref="P5:P8" si="2">(L5*M5)*N5*O5</f>
        <v>4490657.5930649992</v>
      </c>
      <c r="Q5" s="74">
        <v>7.8</v>
      </c>
      <c r="R5" s="222"/>
      <c r="S5" s="230" t="s">
        <v>649</v>
      </c>
      <c r="T5" s="230">
        <v>20</v>
      </c>
      <c r="U5" s="222"/>
      <c r="V5" s="222"/>
      <c r="W5" s="222"/>
      <c r="X5" s="83"/>
      <c r="Y5" s="91" t="s">
        <v>650</v>
      </c>
      <c r="Z5" s="92">
        <v>0.62929783383799476</v>
      </c>
      <c r="AA5" s="93">
        <v>0.62578897391498634</v>
      </c>
      <c r="AB5" s="93">
        <v>0.63439740920656951</v>
      </c>
      <c r="AC5" s="93">
        <v>0.63647566235366604</v>
      </c>
      <c r="AD5" s="93">
        <v>0.64672978145315629</v>
      </c>
      <c r="AE5" s="93"/>
      <c r="AF5" s="93"/>
      <c r="AG5" s="93"/>
      <c r="AH5" s="93">
        <v>0.97037037037037033</v>
      </c>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row>
    <row r="6" spans="2:204" s="48" customFormat="1" x14ac:dyDescent="0.25">
      <c r="B6" s="73" t="s">
        <v>651</v>
      </c>
      <c r="C6" s="100">
        <f t="shared" si="0"/>
        <v>25.908999999999999</v>
      </c>
      <c r="D6" s="100">
        <v>19.93</v>
      </c>
      <c r="E6" s="100">
        <f t="shared" si="1"/>
        <v>13.950999999999999</v>
      </c>
      <c r="F6" s="151" t="s">
        <v>643</v>
      </c>
      <c r="G6" s="161"/>
      <c r="H6" s="83"/>
      <c r="I6" s="52" t="s">
        <v>652</v>
      </c>
      <c r="J6" s="74">
        <v>3123</v>
      </c>
      <c r="K6" s="120"/>
      <c r="L6" s="52">
        <v>138485</v>
      </c>
      <c r="M6" s="114">
        <v>0.95</v>
      </c>
      <c r="N6" s="121">
        <v>3.4359999999999999</v>
      </c>
      <c r="O6" s="102">
        <v>141.267</v>
      </c>
      <c r="P6" s="116">
        <f t="shared" si="2"/>
        <v>63858721.327778995</v>
      </c>
      <c r="Q6" s="74">
        <v>8.99</v>
      </c>
      <c r="R6" s="222"/>
      <c r="S6" s="230" t="s">
        <v>653</v>
      </c>
      <c r="T6" s="230">
        <v>25</v>
      </c>
      <c r="U6" s="222"/>
      <c r="V6" s="222"/>
      <c r="W6" s="222"/>
      <c r="X6" s="83"/>
      <c r="Y6" s="91" t="s">
        <v>654</v>
      </c>
      <c r="Z6" s="92">
        <v>0.22736638417572966</v>
      </c>
      <c r="AA6" s="93">
        <v>0.23225157794782997</v>
      </c>
      <c r="AB6" s="93">
        <v>0.22542216053666436</v>
      </c>
      <c r="AC6" s="93">
        <v>0.21344952028870698</v>
      </c>
      <c r="AD6" s="93">
        <v>0.17728109629077643</v>
      </c>
      <c r="AE6" s="93"/>
      <c r="AF6" s="93"/>
      <c r="AG6" s="93"/>
      <c r="AH6" s="93">
        <v>1.2814814814814814</v>
      </c>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row>
    <row r="7" spans="2:204" s="48" customFormat="1" x14ac:dyDescent="0.25">
      <c r="B7" s="75" t="s">
        <v>655</v>
      </c>
      <c r="C7" s="100">
        <f t="shared" si="0"/>
        <v>16.978000000000002</v>
      </c>
      <c r="D7" s="100">
        <v>13.06</v>
      </c>
      <c r="E7" s="100">
        <f t="shared" si="1"/>
        <v>9.1419999999999995</v>
      </c>
      <c r="F7" s="151" t="s">
        <v>643</v>
      </c>
      <c r="G7" s="161"/>
      <c r="H7" s="83"/>
      <c r="I7" s="52" t="s">
        <v>656</v>
      </c>
      <c r="J7" s="74">
        <v>1500</v>
      </c>
      <c r="K7" s="120"/>
      <c r="L7" s="52">
        <v>39653</v>
      </c>
      <c r="M7" s="114">
        <v>0.95</v>
      </c>
      <c r="N7" s="121">
        <v>2.4</v>
      </c>
      <c r="O7" s="102">
        <v>143.49307692307693</v>
      </c>
      <c r="P7" s="116">
        <f t="shared" si="2"/>
        <v>12973042.632646155</v>
      </c>
      <c r="Q7" s="74">
        <v>5.98</v>
      </c>
      <c r="R7" s="222"/>
      <c r="S7" s="230" t="s">
        <v>657</v>
      </c>
      <c r="T7" s="230">
        <v>30</v>
      </c>
      <c r="U7" s="222"/>
      <c r="V7" s="222"/>
      <c r="W7" s="222"/>
      <c r="X7" s="83"/>
      <c r="Y7" s="91" t="s">
        <v>658</v>
      </c>
      <c r="Z7" s="92">
        <v>8.9226524286456568E-3</v>
      </c>
      <c r="AA7" s="93">
        <v>4.5523096687705971E-3</v>
      </c>
      <c r="AB7" s="93">
        <v>1.3879250520471894E-2</v>
      </c>
      <c r="AC7" s="93">
        <v>1.892439045858639E-2</v>
      </c>
      <c r="AD7" s="93">
        <v>4.221900169601835E-3</v>
      </c>
      <c r="AE7" s="93"/>
      <c r="AF7" s="93"/>
      <c r="AG7" s="93"/>
      <c r="AH7" s="93">
        <v>2.1111111111111112</v>
      </c>
      <c r="AI7" s="83"/>
      <c r="AJ7" s="83"/>
      <c r="AK7" s="83"/>
      <c r="AL7" s="83"/>
      <c r="AM7" s="83"/>
      <c r="AN7" s="83"/>
      <c r="AO7" s="84"/>
      <c r="AP7" s="83"/>
      <c r="AQ7" s="83"/>
      <c r="AR7" s="83"/>
      <c r="AS7" s="83"/>
      <c r="AT7" s="83"/>
      <c r="AU7" s="83"/>
      <c r="AV7" s="83"/>
      <c r="AW7" s="83"/>
      <c r="AX7" s="84"/>
      <c r="AY7" s="83"/>
      <c r="AZ7" s="83"/>
      <c r="BA7" s="83"/>
      <c r="BB7" s="83"/>
      <c r="BC7" s="83"/>
      <c r="BD7" s="83"/>
      <c r="BE7" s="83"/>
      <c r="BF7" s="83"/>
      <c r="BG7" s="84"/>
      <c r="BH7" s="83"/>
      <c r="BI7" s="83"/>
      <c r="BJ7" s="83"/>
      <c r="BK7" s="83"/>
      <c r="BL7" s="83"/>
      <c r="BM7" s="83"/>
      <c r="BN7" s="83"/>
      <c r="BO7" s="83"/>
      <c r="BP7" s="84"/>
      <c r="BQ7" s="83"/>
      <c r="BR7" s="83"/>
      <c r="BS7" s="83"/>
      <c r="BT7" s="83"/>
      <c r="BU7" s="83"/>
      <c r="BV7" s="83"/>
      <c r="BW7" s="83"/>
      <c r="BX7" s="83"/>
      <c r="BY7" s="84"/>
      <c r="BZ7" s="83"/>
      <c r="CA7" s="83"/>
      <c r="CB7" s="83"/>
      <c r="CC7" s="83"/>
      <c r="CD7" s="83"/>
      <c r="CE7" s="83"/>
      <c r="CF7" s="83"/>
      <c r="CG7" s="83"/>
      <c r="CH7" s="84"/>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row>
    <row r="8" spans="2:204" s="48" customFormat="1" x14ac:dyDescent="0.25">
      <c r="B8" s="75" t="s">
        <v>659</v>
      </c>
      <c r="C8" s="100">
        <f t="shared" si="0"/>
        <v>19.240000000000002</v>
      </c>
      <c r="D8" s="181">
        <v>14.8</v>
      </c>
      <c r="E8" s="100">
        <f t="shared" si="1"/>
        <v>10.36</v>
      </c>
      <c r="F8" s="151" t="s">
        <v>643</v>
      </c>
      <c r="G8" s="161"/>
      <c r="H8" s="83"/>
      <c r="I8" s="52" t="s">
        <v>660</v>
      </c>
      <c r="J8" s="74">
        <v>421</v>
      </c>
      <c r="K8" s="120"/>
      <c r="L8" s="52">
        <v>3342</v>
      </c>
      <c r="M8" s="114">
        <v>0.95</v>
      </c>
      <c r="N8" s="121">
        <v>4.0636000000000001</v>
      </c>
      <c r="O8" s="102">
        <v>144.35</v>
      </c>
      <c r="P8" s="116">
        <f t="shared" si="2"/>
        <v>1862334.9374339997</v>
      </c>
      <c r="Q8" s="74">
        <v>9.8000000000000007</v>
      </c>
      <c r="R8" s="222"/>
      <c r="S8" s="230" t="s">
        <v>661</v>
      </c>
      <c r="T8" s="230">
        <v>35</v>
      </c>
      <c r="U8" s="222"/>
      <c r="V8" s="222"/>
      <c r="W8" s="222"/>
      <c r="X8" s="83"/>
      <c r="Y8" s="91" t="s">
        <v>662</v>
      </c>
      <c r="Z8" s="92">
        <v>1.8956157167684947E-2</v>
      </c>
      <c r="AA8" s="93">
        <v>7.6802770485393506E-3</v>
      </c>
      <c r="AB8" s="93">
        <v>3.06500115660421E-2</v>
      </c>
      <c r="AC8" s="93">
        <v>4.5594577942082562E-2</v>
      </c>
      <c r="AD8" s="93">
        <v>8.3494426849833429E-3</v>
      </c>
      <c r="AE8" s="93"/>
      <c r="AF8" s="93"/>
      <c r="AG8" s="93"/>
      <c r="AH8" s="93">
        <v>2.2740740740740741</v>
      </c>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row>
    <row r="9" spans="2:204" s="48" customFormat="1" x14ac:dyDescent="0.25">
      <c r="B9" s="49"/>
      <c r="C9" s="49"/>
      <c r="D9" s="49"/>
      <c r="E9" s="49"/>
      <c r="F9" s="152"/>
      <c r="G9" s="162"/>
      <c r="H9" s="83"/>
      <c r="I9" s="52" t="s">
        <v>663</v>
      </c>
      <c r="J9" s="74">
        <v>253</v>
      </c>
      <c r="K9" s="120"/>
      <c r="L9" s="52">
        <v>2909</v>
      </c>
      <c r="M9" s="114">
        <v>0.95</v>
      </c>
      <c r="N9" s="121">
        <v>0.72839999999999994</v>
      </c>
      <c r="O9" s="52"/>
      <c r="P9" s="116"/>
      <c r="Q9" s="74">
        <v>4.55</v>
      </c>
      <c r="R9" s="222"/>
      <c r="S9" s="83"/>
      <c r="T9" s="83"/>
      <c r="U9" s="222"/>
      <c r="V9" s="222"/>
      <c r="W9" s="222"/>
      <c r="X9" s="83"/>
      <c r="Y9" s="91" t="s">
        <v>664</v>
      </c>
      <c r="Z9" s="92">
        <v>0.11183774389479154</v>
      </c>
      <c r="AA9" s="93">
        <v>0.12643132435904597</v>
      </c>
      <c r="AB9" s="93">
        <v>9.2181355540134166E-2</v>
      </c>
      <c r="AC9" s="93">
        <v>8.0802746237127007E-2</v>
      </c>
      <c r="AD9" s="93">
        <v>0.16130561960316558</v>
      </c>
      <c r="AE9" s="93"/>
      <c r="AF9" s="93"/>
      <c r="AG9" s="93"/>
      <c r="AH9" s="93">
        <v>0.6962962962962963</v>
      </c>
      <c r="AI9" s="85"/>
      <c r="AJ9" s="85"/>
      <c r="AK9" s="86"/>
      <c r="AL9" s="86"/>
      <c r="AM9" s="86"/>
      <c r="AN9" s="85"/>
      <c r="AO9" s="85"/>
      <c r="AP9" s="85"/>
      <c r="AQ9" s="85"/>
      <c r="AR9" s="85"/>
      <c r="AS9" s="85"/>
      <c r="AT9" s="86"/>
      <c r="AU9" s="86"/>
      <c r="AV9" s="86"/>
      <c r="AW9" s="85"/>
      <c r="AX9" s="85"/>
      <c r="AY9" s="85"/>
      <c r="AZ9" s="85"/>
      <c r="BA9" s="85"/>
      <c r="BB9" s="85"/>
      <c r="BC9" s="86"/>
      <c r="BD9" s="86"/>
      <c r="BE9" s="86"/>
      <c r="BF9" s="85"/>
      <c r="BG9" s="85"/>
      <c r="BH9" s="85"/>
      <c r="BI9" s="85"/>
      <c r="BJ9" s="85"/>
      <c r="BK9" s="85"/>
      <c r="BL9" s="86"/>
      <c r="BM9" s="86"/>
      <c r="BN9" s="86"/>
      <c r="BO9" s="85"/>
      <c r="BP9" s="85"/>
      <c r="BQ9" s="85"/>
      <c r="BR9" s="85"/>
      <c r="BS9" s="85"/>
      <c r="BT9" s="85"/>
      <c r="BU9" s="86"/>
      <c r="BV9" s="86"/>
      <c r="BW9" s="86"/>
      <c r="BX9" s="85"/>
      <c r="BY9" s="85"/>
      <c r="BZ9" s="85"/>
      <c r="CA9" s="85"/>
      <c r="CB9" s="85"/>
      <c r="CC9" s="85"/>
      <c r="CD9" s="86"/>
      <c r="CE9" s="86"/>
      <c r="CF9" s="86"/>
      <c r="CG9" s="85"/>
      <c r="CH9" s="85"/>
      <c r="CI9" s="85"/>
      <c r="CJ9" s="85"/>
      <c r="CK9" s="85"/>
      <c r="CL9" s="85"/>
      <c r="CM9" s="86"/>
      <c r="CN9" s="86"/>
      <c r="CO9" s="86"/>
      <c r="CP9" s="85"/>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row>
    <row r="10" spans="2:204" s="48" customFormat="1" x14ac:dyDescent="0.25">
      <c r="B10" s="168" t="s">
        <v>665</v>
      </c>
      <c r="C10" s="169">
        <f>D10*1.2</f>
        <v>78</v>
      </c>
      <c r="D10" s="169">
        <v>65</v>
      </c>
      <c r="E10" s="169">
        <f>D10*0.7</f>
        <v>45.5</v>
      </c>
      <c r="F10" s="151" t="s">
        <v>643</v>
      </c>
      <c r="G10" s="160"/>
      <c r="H10" s="83"/>
      <c r="I10" s="80" t="s">
        <v>666</v>
      </c>
      <c r="J10" s="74">
        <v>1691</v>
      </c>
      <c r="K10" s="120"/>
      <c r="L10" s="52">
        <v>46805</v>
      </c>
      <c r="M10" s="114">
        <v>0.95</v>
      </c>
      <c r="N10" s="121">
        <v>1.8932</v>
      </c>
      <c r="O10" s="52"/>
      <c r="P10" s="116"/>
      <c r="Q10" s="74"/>
      <c r="R10" s="222"/>
      <c r="S10" s="83"/>
      <c r="T10" s="83"/>
      <c r="U10" s="222"/>
      <c r="V10" s="222"/>
      <c r="W10" s="222"/>
      <c r="X10" s="83"/>
      <c r="Y10" s="91" t="s">
        <v>667</v>
      </c>
      <c r="Z10" s="92">
        <v>1.7200293838353072E-3</v>
      </c>
      <c r="AA10" s="93">
        <v>8.9370496564821541E-4</v>
      </c>
      <c r="AB10" s="93">
        <v>2.6601896830904465E-3</v>
      </c>
      <c r="AC10" s="93">
        <v>3.608837250242056E-3</v>
      </c>
      <c r="AD10" s="93">
        <v>2.0444158414404299E-3</v>
      </c>
      <c r="AE10" s="93"/>
      <c r="AF10" s="93"/>
      <c r="AG10" s="93"/>
      <c r="AH10" s="93">
        <v>0.84444444444444444</v>
      </c>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row>
    <row r="11" spans="2:204" s="48" customFormat="1" x14ac:dyDescent="0.25">
      <c r="B11" s="50"/>
      <c r="C11" s="50"/>
      <c r="D11" s="50"/>
      <c r="E11" s="50"/>
      <c r="F11" s="50"/>
      <c r="G11" s="163"/>
      <c r="H11" s="83"/>
      <c r="I11" s="52" t="s">
        <v>668</v>
      </c>
      <c r="J11" s="74">
        <v>1123</v>
      </c>
      <c r="K11" s="120"/>
      <c r="L11" s="52">
        <v>29677</v>
      </c>
      <c r="M11" s="114">
        <v>0.95</v>
      </c>
      <c r="N11" s="121">
        <v>1.9334</v>
      </c>
      <c r="O11" s="102">
        <v>187.33500000000001</v>
      </c>
      <c r="P11" s="116">
        <f t="shared" ref="P11:P12" si="3">(L11*M11)*N11*O11</f>
        <v>10211375.36440035</v>
      </c>
      <c r="Q11" s="74">
        <v>8.01</v>
      </c>
      <c r="R11" s="222"/>
      <c r="S11" s="83"/>
      <c r="T11" s="222"/>
      <c r="U11" s="222"/>
      <c r="V11" s="222"/>
      <c r="W11" s="222"/>
      <c r="X11" s="83"/>
      <c r="Y11" s="91" t="s">
        <v>669</v>
      </c>
      <c r="Z11" s="92">
        <v>1.8991991113181516E-3</v>
      </c>
      <c r="AA11" s="93">
        <v>2.4018320951795786E-3</v>
      </c>
      <c r="AB11" s="93">
        <v>8.0962294702752722E-4</v>
      </c>
      <c r="AC11" s="93">
        <v>1.1442654695889445E-3</v>
      </c>
      <c r="AD11" s="93">
        <v>6.7743956876132588E-5</v>
      </c>
      <c r="AE11" s="93"/>
      <c r="AF11" s="93"/>
      <c r="AG11" s="93"/>
      <c r="AH11" s="93">
        <v>28.044444444444444</v>
      </c>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row>
    <row r="12" spans="2:204" s="48" customFormat="1" x14ac:dyDescent="0.25">
      <c r="B12" s="77" t="s">
        <v>670</v>
      </c>
      <c r="C12" s="50"/>
      <c r="D12" s="50"/>
      <c r="E12" s="50"/>
      <c r="F12" s="150"/>
      <c r="G12" s="161"/>
      <c r="H12" s="83"/>
      <c r="I12" s="52" t="s">
        <v>671</v>
      </c>
      <c r="J12" s="74">
        <v>568</v>
      </c>
      <c r="K12" s="120"/>
      <c r="L12" s="52">
        <v>17079</v>
      </c>
      <c r="M12" s="114">
        <v>0.95</v>
      </c>
      <c r="N12" s="121">
        <v>1.8095000000000001</v>
      </c>
      <c r="O12" s="102">
        <v>182.76900000000001</v>
      </c>
      <c r="P12" s="116">
        <f t="shared" si="3"/>
        <v>5365956.7377627753</v>
      </c>
      <c r="Q12" s="74">
        <v>8.67</v>
      </c>
      <c r="R12" s="222"/>
      <c r="S12" s="83"/>
      <c r="T12" s="222"/>
      <c r="U12" s="222"/>
      <c r="V12" s="222"/>
      <c r="W12" s="222"/>
      <c r="X12" s="83"/>
      <c r="Y12" s="83"/>
      <c r="Z12" s="83"/>
      <c r="AA12" s="83"/>
      <c r="AB12" s="83"/>
      <c r="AC12" s="83"/>
      <c r="AD12" s="83"/>
      <c r="AE12" s="83"/>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row>
    <row r="13" spans="2:204" s="48" customFormat="1" x14ac:dyDescent="0.25">
      <c r="B13" s="75" t="s">
        <v>672</v>
      </c>
      <c r="C13" s="52">
        <v>10</v>
      </c>
      <c r="D13" s="103">
        <v>5</v>
      </c>
      <c r="E13" s="52">
        <v>3</v>
      </c>
      <c r="F13" s="153" t="s">
        <v>673</v>
      </c>
      <c r="G13" s="161"/>
      <c r="H13" s="83"/>
      <c r="I13" s="72" t="s">
        <v>674</v>
      </c>
      <c r="J13" s="50"/>
      <c r="K13" s="50"/>
      <c r="L13" s="52"/>
      <c r="M13" s="74"/>
      <c r="N13" s="121"/>
      <c r="O13" s="52"/>
      <c r="P13" s="116"/>
      <c r="Q13" s="74"/>
      <c r="R13" s="222"/>
      <c r="S13" s="83"/>
      <c r="T13" s="222"/>
      <c r="U13" s="222"/>
      <c r="V13" s="222"/>
      <c r="W13" s="222"/>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row>
    <row r="14" spans="2:204" s="48" customFormat="1" x14ac:dyDescent="0.25">
      <c r="B14" s="75"/>
      <c r="C14" s="50"/>
      <c r="D14" s="76"/>
      <c r="E14" s="50"/>
      <c r="F14" s="151"/>
      <c r="G14" s="161"/>
      <c r="H14" s="83"/>
      <c r="I14" s="52" t="s">
        <v>662</v>
      </c>
      <c r="J14" s="74">
        <v>3295</v>
      </c>
      <c r="K14" s="74">
        <v>260</v>
      </c>
      <c r="L14" s="52">
        <v>5205</v>
      </c>
      <c r="M14" s="114">
        <v>0.95</v>
      </c>
      <c r="N14" s="121">
        <v>17.689</v>
      </c>
      <c r="O14" s="52"/>
      <c r="P14" s="116"/>
      <c r="Q14" s="74">
        <v>0.83</v>
      </c>
      <c r="R14" s="222"/>
      <c r="S14" s="83"/>
      <c r="T14" s="222"/>
      <c r="U14" s="222"/>
      <c r="V14" s="222"/>
      <c r="W14" s="222"/>
      <c r="X14" s="83"/>
      <c r="Y14" s="84"/>
      <c r="Z14" s="84"/>
      <c r="AA14" s="84"/>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row>
    <row r="15" spans="2:204" x14ac:dyDescent="0.25">
      <c r="B15" s="77" t="s">
        <v>675</v>
      </c>
      <c r="C15" s="50"/>
      <c r="D15" s="74"/>
      <c r="E15" s="50"/>
      <c r="F15" s="151"/>
      <c r="G15" s="161"/>
      <c r="H15" s="83"/>
      <c r="I15" s="52" t="s">
        <v>676</v>
      </c>
      <c r="J15" s="74">
        <v>33</v>
      </c>
      <c r="K15" s="74"/>
      <c r="L15" s="52">
        <v>209</v>
      </c>
      <c r="M15" s="74"/>
      <c r="N15" s="121">
        <v>11.96</v>
      </c>
      <c r="O15" s="52"/>
      <c r="P15" s="116"/>
      <c r="Q15" s="74">
        <v>2.2599999999999998</v>
      </c>
      <c r="R15" s="222"/>
      <c r="S15" s="222"/>
      <c r="T15" s="222"/>
      <c r="U15" s="222"/>
      <c r="V15" s="222"/>
      <c r="W15" s="222"/>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row>
    <row r="16" spans="2:204" ht="15.75" x14ac:dyDescent="0.25">
      <c r="B16" s="52" t="s">
        <v>644</v>
      </c>
      <c r="C16" s="101">
        <v>188.16</v>
      </c>
      <c r="D16" s="101">
        <v>154.28538461538463</v>
      </c>
      <c r="E16" s="101">
        <v>132.33000000000001</v>
      </c>
      <c r="F16" s="151" t="s">
        <v>677</v>
      </c>
      <c r="G16" s="161"/>
      <c r="H16" s="83"/>
      <c r="I16" s="72" t="s">
        <v>654</v>
      </c>
      <c r="J16" s="74">
        <v>1872</v>
      </c>
      <c r="K16" s="74"/>
      <c r="L16" s="52">
        <v>79150</v>
      </c>
      <c r="M16" s="74"/>
      <c r="N16" s="121"/>
      <c r="O16" s="52"/>
      <c r="P16" s="116"/>
      <c r="Q16" s="74"/>
      <c r="R16" s="222"/>
      <c r="S16" s="222"/>
      <c r="T16" s="222"/>
      <c r="U16" s="222"/>
      <c r="V16" s="222"/>
      <c r="W16" s="222"/>
      <c r="X16" s="94"/>
      <c r="Y16" s="94"/>
      <c r="Z16" s="94"/>
      <c r="AA16" s="94"/>
      <c r="AB16" s="94"/>
      <c r="AC16" s="94"/>
      <c r="AD16" s="94"/>
      <c r="AE16" s="94"/>
      <c r="AF16" s="94"/>
      <c r="AG16" s="94"/>
      <c r="AH16" s="94"/>
      <c r="AI16" s="94"/>
      <c r="AJ16" s="94"/>
      <c r="AK16" s="94"/>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row>
    <row r="17" spans="2:204" x14ac:dyDescent="0.25">
      <c r="B17" s="52" t="s">
        <v>648</v>
      </c>
      <c r="C17" s="102">
        <v>162.35</v>
      </c>
      <c r="D17" s="102">
        <v>133.58333333333334</v>
      </c>
      <c r="E17" s="102">
        <v>109.84</v>
      </c>
      <c r="F17" s="151" t="s">
        <v>677</v>
      </c>
      <c r="G17" s="161"/>
      <c r="H17" s="83"/>
      <c r="I17" s="52" t="s">
        <v>678</v>
      </c>
      <c r="J17" s="74">
        <v>1805</v>
      </c>
      <c r="K17" s="74"/>
      <c r="L17" s="52">
        <v>72683</v>
      </c>
      <c r="M17" s="114">
        <v>0.95</v>
      </c>
      <c r="N17" s="121">
        <v>2.0228000000000002</v>
      </c>
      <c r="O17" s="102">
        <v>371.49076923076922</v>
      </c>
      <c r="P17" s="116">
        <f t="shared" ref="P17" si="4">(L17*M17)*N17*O17</f>
        <v>51886863.839142792</v>
      </c>
      <c r="Q17" s="74">
        <v>11.9</v>
      </c>
      <c r="R17" s="222"/>
      <c r="S17" s="222"/>
      <c r="T17" s="222"/>
      <c r="U17" s="222"/>
      <c r="V17" s="222"/>
      <c r="W17" s="222"/>
      <c r="X17" s="97"/>
      <c r="Y17" s="97"/>
      <c r="Z17" s="97"/>
      <c r="AA17" s="97"/>
      <c r="AB17" s="97"/>
      <c r="AC17" s="97"/>
      <c r="AD17" s="97"/>
      <c r="AE17" s="97"/>
      <c r="AF17" s="97"/>
      <c r="AG17" s="97"/>
      <c r="AH17" s="97"/>
      <c r="AI17" s="97"/>
      <c r="AJ17" s="97"/>
      <c r="AK17" s="97"/>
      <c r="AL17" s="97"/>
      <c r="AM17" s="97"/>
      <c r="AN17" s="97"/>
      <c r="AO17" s="97"/>
      <c r="AP17" s="97"/>
      <c r="AQ17" s="97"/>
      <c r="AR17" s="97"/>
      <c r="AS17" s="97"/>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row>
    <row r="18" spans="2:204" x14ac:dyDescent="0.25">
      <c r="B18" s="52" t="s">
        <v>652</v>
      </c>
      <c r="C18" s="102">
        <v>173.78</v>
      </c>
      <c r="D18" s="102">
        <v>141.267</v>
      </c>
      <c r="E18" s="102">
        <v>121.93</v>
      </c>
      <c r="F18" s="151" t="s">
        <v>677</v>
      </c>
      <c r="G18" s="161"/>
      <c r="H18" s="83"/>
      <c r="I18" s="81" t="s">
        <v>679</v>
      </c>
      <c r="J18" s="50">
        <v>3</v>
      </c>
      <c r="K18" s="50"/>
      <c r="L18" s="52">
        <v>53</v>
      </c>
      <c r="M18" s="74"/>
      <c r="N18" s="121">
        <v>0.92425000000000002</v>
      </c>
      <c r="O18" s="52"/>
      <c r="P18" s="102"/>
      <c r="Q18" s="74">
        <v>6.65</v>
      </c>
      <c r="R18" s="222"/>
      <c r="S18" s="222"/>
      <c r="T18" s="222"/>
      <c r="U18" s="222"/>
      <c r="V18" s="222"/>
      <c r="W18" s="222"/>
      <c r="X18" s="99"/>
      <c r="Y18" s="99"/>
      <c r="Z18" s="99"/>
      <c r="AA18" s="99"/>
      <c r="AB18" s="99"/>
      <c r="AC18" s="99"/>
      <c r="AD18" s="99"/>
      <c r="AE18" s="99"/>
      <c r="AF18" s="99"/>
      <c r="AG18" s="99"/>
      <c r="AH18" s="99"/>
      <c r="AI18" s="99"/>
      <c r="AJ18" s="99"/>
      <c r="AK18" s="99"/>
      <c r="AL18" s="99"/>
      <c r="AM18" s="99"/>
      <c r="AN18" s="99"/>
      <c r="AO18" s="99"/>
      <c r="AP18" s="99"/>
      <c r="AQ18" s="99"/>
      <c r="AR18" s="99"/>
      <c r="AS18" s="99"/>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row>
    <row r="19" spans="2:204" x14ac:dyDescent="0.25">
      <c r="B19" s="52" t="s">
        <v>656</v>
      </c>
      <c r="C19" s="102">
        <v>199.41</v>
      </c>
      <c r="D19" s="102">
        <v>143.49307692307693</v>
      </c>
      <c r="E19" s="102">
        <v>104.88</v>
      </c>
      <c r="F19" s="151" t="s">
        <v>677</v>
      </c>
      <c r="G19" s="161"/>
      <c r="H19" s="83"/>
      <c r="I19" s="81" t="s">
        <v>680</v>
      </c>
      <c r="J19" s="50">
        <v>64</v>
      </c>
      <c r="K19" s="50"/>
      <c r="L19" s="52">
        <v>3536</v>
      </c>
      <c r="M19" s="114">
        <v>0.95</v>
      </c>
      <c r="N19" s="121">
        <v>0.79</v>
      </c>
      <c r="O19" s="52"/>
      <c r="P19" s="52"/>
      <c r="Q19" s="74">
        <v>10.44</v>
      </c>
      <c r="R19" s="222"/>
      <c r="S19" s="222"/>
      <c r="T19" s="222"/>
      <c r="U19" s="222"/>
      <c r="V19" s="222"/>
      <c r="W19" s="222"/>
      <c r="X19" s="99"/>
      <c r="Y19" s="99"/>
      <c r="Z19" s="99"/>
      <c r="AA19" s="99"/>
      <c r="AB19" s="99"/>
      <c r="AC19" s="99"/>
      <c r="AD19" s="99"/>
      <c r="AE19" s="99"/>
      <c r="AF19" s="99"/>
      <c r="AG19" s="99"/>
      <c r="AH19" s="99"/>
      <c r="AI19" s="99"/>
      <c r="AJ19" s="99"/>
      <c r="AK19" s="99"/>
      <c r="AL19" s="99"/>
      <c r="AM19" s="99"/>
      <c r="AN19" s="99"/>
      <c r="AO19" s="99"/>
      <c r="AP19" s="99"/>
      <c r="AQ19" s="99"/>
      <c r="AR19" s="99"/>
      <c r="AS19" s="99"/>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row>
    <row r="20" spans="2:204" x14ac:dyDescent="0.25">
      <c r="B20" s="52" t="s">
        <v>668</v>
      </c>
      <c r="C20" s="102">
        <v>216.69</v>
      </c>
      <c r="D20" s="102">
        <v>187.33500000000001</v>
      </c>
      <c r="E20" s="102">
        <v>160.69999999999999</v>
      </c>
      <c r="F20" s="151" t="s">
        <v>677</v>
      </c>
      <c r="G20" s="161"/>
      <c r="H20" s="83"/>
      <c r="I20" s="52" t="s">
        <v>681</v>
      </c>
      <c r="J20" s="50">
        <v>165</v>
      </c>
      <c r="K20" s="50"/>
      <c r="L20" s="52">
        <v>10548</v>
      </c>
      <c r="M20" s="114">
        <v>0.95</v>
      </c>
      <c r="N20" s="121">
        <v>28.284200000000002</v>
      </c>
      <c r="O20" s="52"/>
      <c r="P20" s="52"/>
      <c r="Q20" s="74">
        <v>15.7</v>
      </c>
      <c r="R20" s="222"/>
      <c r="S20" s="222"/>
      <c r="T20" s="222"/>
      <c r="U20" s="222"/>
      <c r="V20" s="222"/>
      <c r="W20" s="222"/>
      <c r="X20" s="97"/>
      <c r="Y20" s="97"/>
      <c r="Z20" s="97"/>
      <c r="AA20" s="97"/>
      <c r="AB20" s="97"/>
      <c r="AC20" s="97"/>
      <c r="AD20" s="97"/>
      <c r="AE20" s="97"/>
      <c r="AF20" s="97"/>
      <c r="AG20" s="97"/>
      <c r="AH20" s="97"/>
      <c r="AI20" s="97"/>
      <c r="AJ20" s="97"/>
      <c r="AK20" s="97"/>
      <c r="AL20" s="97"/>
      <c r="AM20" s="97"/>
      <c r="AN20" s="97"/>
      <c r="AO20" s="97"/>
      <c r="AP20" s="97"/>
      <c r="AQ20" s="97"/>
      <c r="AR20" s="97"/>
      <c r="AS20" s="97"/>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row>
    <row r="21" spans="2:204" x14ac:dyDescent="0.25">
      <c r="B21" s="52" t="s">
        <v>671</v>
      </c>
      <c r="C21" s="102">
        <v>247.38</v>
      </c>
      <c r="D21" s="102">
        <v>182.76900000000001</v>
      </c>
      <c r="E21" s="102">
        <v>153.1</v>
      </c>
      <c r="F21" s="151" t="s">
        <v>677</v>
      </c>
      <c r="G21" s="161"/>
      <c r="H21" s="83"/>
      <c r="I21" s="80" t="s">
        <v>682</v>
      </c>
      <c r="J21" s="50"/>
      <c r="K21" s="50"/>
      <c r="L21" s="52"/>
      <c r="M21" s="74"/>
      <c r="N21" s="121"/>
      <c r="O21" s="52"/>
      <c r="P21" s="52"/>
      <c r="Q21" s="74"/>
      <c r="R21" s="222"/>
      <c r="S21" s="222"/>
      <c r="T21" s="222"/>
      <c r="U21" s="222"/>
      <c r="V21" s="222"/>
      <c r="W21" s="222"/>
      <c r="X21" s="99"/>
      <c r="Y21" s="99"/>
      <c r="Z21" s="99"/>
      <c r="AA21" s="99"/>
      <c r="AB21" s="99"/>
      <c r="AC21" s="99"/>
      <c r="AD21" s="99"/>
      <c r="AE21" s="99"/>
      <c r="AF21" s="99"/>
      <c r="AG21" s="99"/>
      <c r="AH21" s="99"/>
      <c r="AI21" s="99"/>
      <c r="AJ21" s="99"/>
      <c r="AK21" s="99"/>
      <c r="AL21" s="99"/>
      <c r="AM21" s="99"/>
      <c r="AN21" s="99"/>
      <c r="AO21" s="99"/>
      <c r="AP21" s="99"/>
      <c r="AQ21" s="99"/>
      <c r="AR21" s="99"/>
      <c r="AS21" s="99"/>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row>
    <row r="22" spans="2:204" x14ac:dyDescent="0.25">
      <c r="B22" s="52" t="s">
        <v>678</v>
      </c>
      <c r="C22" s="102">
        <v>403.72</v>
      </c>
      <c r="D22" s="102">
        <v>371.49076923076922</v>
      </c>
      <c r="E22" s="102">
        <v>356.79</v>
      </c>
      <c r="F22" s="151" t="s">
        <v>677</v>
      </c>
      <c r="H22" s="83"/>
      <c r="I22" s="52" t="s">
        <v>683</v>
      </c>
      <c r="J22" s="52">
        <v>12686</v>
      </c>
      <c r="K22" s="52"/>
      <c r="L22" s="52">
        <v>314232</v>
      </c>
      <c r="M22" s="114">
        <v>0.62</v>
      </c>
      <c r="N22" s="121"/>
      <c r="O22" s="52"/>
      <c r="P22" s="52"/>
      <c r="Q22" s="74">
        <v>3.75</v>
      </c>
      <c r="R22" s="222"/>
      <c r="S22" s="222"/>
      <c r="T22" s="222"/>
      <c r="U22" s="222"/>
      <c r="V22" s="222"/>
      <c r="W22" s="222"/>
      <c r="X22" s="99"/>
      <c r="Y22" s="99"/>
      <c r="Z22" s="99"/>
      <c r="AA22" s="99"/>
      <c r="AB22" s="99"/>
      <c r="AC22" s="99"/>
      <c r="AD22" s="99"/>
      <c r="AE22" s="99"/>
      <c r="AF22" s="99"/>
      <c r="AG22" s="99"/>
      <c r="AH22" s="99"/>
      <c r="AI22" s="99"/>
      <c r="AJ22" s="99"/>
      <c r="AK22" s="99"/>
      <c r="AL22" s="99"/>
      <c r="AM22" s="99"/>
      <c r="AN22" s="99"/>
      <c r="AO22" s="99"/>
      <c r="AP22" s="99"/>
      <c r="AQ22" s="99"/>
      <c r="AR22" s="99"/>
      <c r="AS22" s="99"/>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row>
    <row r="23" spans="2:204" x14ac:dyDescent="0.25">
      <c r="B23" s="75"/>
      <c r="C23" s="50"/>
      <c r="D23" s="76"/>
      <c r="E23" s="50"/>
      <c r="F23" s="151"/>
      <c r="H23" s="83"/>
      <c r="I23" s="81" t="s">
        <v>684</v>
      </c>
      <c r="J23" s="52">
        <v>7852</v>
      </c>
      <c r="K23" s="52"/>
      <c r="L23" s="52">
        <v>265379</v>
      </c>
      <c r="M23" s="114">
        <v>1</v>
      </c>
      <c r="N23" s="121">
        <v>30.103000000000002</v>
      </c>
      <c r="O23" s="52"/>
      <c r="P23" s="52"/>
      <c r="Q23" s="74">
        <v>3.75</v>
      </c>
      <c r="R23" s="222"/>
      <c r="S23" s="222"/>
      <c r="T23" s="222"/>
      <c r="U23" s="222"/>
      <c r="V23" s="222"/>
      <c r="W23" s="222"/>
      <c r="X23" s="97"/>
      <c r="Y23" s="97"/>
      <c r="Z23" s="97"/>
      <c r="AA23" s="97"/>
      <c r="AB23" s="97"/>
      <c r="AC23" s="97"/>
      <c r="AD23" s="97"/>
      <c r="AE23" s="97"/>
      <c r="AF23" s="97"/>
      <c r="AG23" s="97"/>
      <c r="AH23" s="97"/>
      <c r="AI23" s="97"/>
      <c r="AJ23" s="97"/>
      <c r="AK23" s="97"/>
      <c r="AL23" s="97"/>
      <c r="AM23" s="97"/>
      <c r="AN23" s="97"/>
      <c r="AO23" s="97"/>
      <c r="AP23" s="97"/>
      <c r="AQ23" s="97"/>
      <c r="AR23" s="97"/>
      <c r="AS23" s="97"/>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row>
    <row r="24" spans="2:204" x14ac:dyDescent="0.25">
      <c r="B24" s="83"/>
      <c r="C24" s="83"/>
      <c r="D24" s="83"/>
      <c r="E24" s="83"/>
      <c r="F24" s="83"/>
      <c r="H24" s="83"/>
      <c r="I24" s="81" t="s">
        <v>685</v>
      </c>
      <c r="J24" s="52">
        <v>4834</v>
      </c>
      <c r="K24" s="52"/>
      <c r="L24" s="52">
        <v>48854</v>
      </c>
      <c r="M24" s="52"/>
      <c r="N24" s="52"/>
      <c r="O24" s="52"/>
      <c r="P24" s="52"/>
      <c r="Q24" s="74">
        <v>3.75</v>
      </c>
      <c r="R24" s="222"/>
      <c r="S24" s="222"/>
      <c r="T24" s="222"/>
      <c r="U24" s="222"/>
      <c r="V24" s="222"/>
      <c r="W24" s="222"/>
      <c r="X24" s="99"/>
      <c r="Y24" s="99"/>
      <c r="Z24" s="99"/>
      <c r="AA24" s="99"/>
      <c r="AB24" s="99"/>
      <c r="AC24" s="99"/>
      <c r="AD24" s="99"/>
      <c r="AE24" s="99"/>
      <c r="AF24" s="99"/>
      <c r="AG24" s="99"/>
      <c r="AH24" s="99"/>
      <c r="AI24" s="99"/>
      <c r="AJ24" s="99"/>
      <c r="AK24" s="99"/>
      <c r="AL24" s="99"/>
      <c r="AM24" s="99"/>
      <c r="AN24" s="99"/>
      <c r="AO24" s="99"/>
      <c r="AP24" s="99"/>
      <c r="AQ24" s="99"/>
      <c r="AR24" s="99"/>
      <c r="AS24" s="99"/>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row>
    <row r="25" spans="2:204" x14ac:dyDescent="0.25">
      <c r="B25" s="83"/>
      <c r="C25" s="83"/>
      <c r="D25" s="83"/>
      <c r="E25" s="83"/>
      <c r="F25" s="83"/>
      <c r="H25" s="83"/>
      <c r="I25" s="52" t="s">
        <v>686</v>
      </c>
      <c r="J25" s="52">
        <v>7219</v>
      </c>
      <c r="K25" s="52"/>
      <c r="L25" s="52">
        <v>124580</v>
      </c>
      <c r="M25" s="52"/>
      <c r="N25" s="50"/>
      <c r="O25" s="50"/>
      <c r="P25" s="50"/>
      <c r="Q25" s="74">
        <v>3.98</v>
      </c>
      <c r="R25" s="222"/>
      <c r="S25" s="222"/>
      <c r="T25" s="222"/>
      <c r="U25" s="222"/>
      <c r="V25" s="222"/>
      <c r="W25" s="222"/>
      <c r="X25" s="99"/>
      <c r="Y25" s="99"/>
      <c r="Z25" s="99"/>
      <c r="AA25" s="99"/>
      <c r="AB25" s="99"/>
      <c r="AC25" s="99"/>
      <c r="AD25" s="99"/>
      <c r="AE25" s="99"/>
      <c r="AF25" s="99"/>
      <c r="AG25" s="99"/>
      <c r="AH25" s="99"/>
      <c r="AI25" s="99"/>
      <c r="AJ25" s="99"/>
      <c r="AK25" s="99"/>
      <c r="AL25" s="99"/>
      <c r="AM25" s="99"/>
      <c r="AN25" s="99"/>
      <c r="AO25" s="99"/>
      <c r="AP25" s="99"/>
      <c r="AQ25" s="99"/>
      <c r="AR25" s="99"/>
      <c r="AS25" s="99"/>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row>
    <row r="26" spans="2:204" x14ac:dyDescent="0.25">
      <c r="B26" s="83"/>
      <c r="C26" s="83"/>
      <c r="D26" s="83"/>
      <c r="E26" s="83"/>
      <c r="F26" s="83"/>
      <c r="H26" s="83"/>
      <c r="I26" s="83" t="s">
        <v>83</v>
      </c>
      <c r="J26" s="83"/>
      <c r="K26" s="83">
        <v>14873</v>
      </c>
      <c r="L26" s="83">
        <f>L3+L10+L14+L16+L22+L25</f>
        <v>920405</v>
      </c>
      <c r="N26" s="83"/>
      <c r="Q26" s="83"/>
      <c r="X26" s="97"/>
      <c r="Y26" s="97"/>
      <c r="Z26" s="97"/>
      <c r="AA26" s="97"/>
      <c r="AB26" s="97"/>
      <c r="AC26" s="97"/>
      <c r="AD26" s="97"/>
      <c r="AE26" s="97"/>
      <c r="AF26" s="97"/>
      <c r="AG26" s="97"/>
      <c r="AH26" s="97"/>
      <c r="AI26" s="97"/>
      <c r="AJ26" s="97"/>
      <c r="AK26" s="97"/>
      <c r="AL26" s="97"/>
      <c r="AM26" s="97"/>
      <c r="AN26" s="97"/>
      <c r="AO26" s="97"/>
      <c r="AP26" s="97"/>
      <c r="AQ26" s="97"/>
      <c r="AR26" s="97"/>
      <c r="AS26" s="97"/>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row>
    <row r="27" spans="2:204" x14ac:dyDescent="0.25">
      <c r="B27" s="83"/>
      <c r="C27" s="200" t="s">
        <v>687</v>
      </c>
      <c r="D27" s="83"/>
      <c r="E27" s="83"/>
      <c r="F27" s="83"/>
      <c r="H27" s="83"/>
      <c r="I27" s="83"/>
      <c r="J27" s="83"/>
      <c r="L27" s="83"/>
      <c r="N27" s="83"/>
      <c r="Q27" s="83"/>
      <c r="X27" s="99"/>
      <c r="Y27" s="99"/>
      <c r="Z27" s="99"/>
      <c r="AA27" s="99"/>
      <c r="AB27" s="99"/>
      <c r="AC27" s="99"/>
      <c r="AD27" s="99"/>
      <c r="AE27" s="99"/>
      <c r="AF27" s="99"/>
      <c r="AG27" s="99"/>
      <c r="AH27" s="99"/>
      <c r="AI27" s="99"/>
      <c r="AJ27" s="99"/>
      <c r="AK27" s="99"/>
      <c r="AL27" s="99"/>
      <c r="AM27" s="99"/>
      <c r="AN27" s="99"/>
      <c r="AO27" s="99"/>
      <c r="AP27" s="99"/>
      <c r="AQ27" s="99"/>
      <c r="AR27" s="99"/>
      <c r="AS27" s="99"/>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row>
    <row r="28" spans="2:204" x14ac:dyDescent="0.25">
      <c r="B28" s="149" t="s">
        <v>688</v>
      </c>
      <c r="C28" s="119" t="s">
        <v>689</v>
      </c>
      <c r="D28" s="154" t="s">
        <v>690</v>
      </c>
      <c r="E28" s="119" t="s">
        <v>691</v>
      </c>
      <c r="F28" s="151"/>
      <c r="G28" s="164" t="s">
        <v>692</v>
      </c>
      <c r="H28" s="83"/>
      <c r="I28" s="83"/>
      <c r="J28" s="83"/>
      <c r="L28" s="83"/>
      <c r="N28" s="83"/>
      <c r="Q28" s="83"/>
      <c r="X28" s="99"/>
      <c r="Y28" s="99"/>
      <c r="Z28" s="99"/>
      <c r="AA28" s="99"/>
      <c r="AB28" s="99"/>
      <c r="AC28" s="99"/>
      <c r="AD28" s="99"/>
      <c r="AE28" s="99"/>
      <c r="AF28" s="99"/>
      <c r="AG28" s="99"/>
      <c r="AH28" s="99"/>
      <c r="AI28" s="99"/>
      <c r="AJ28" s="99"/>
      <c r="AK28" s="99"/>
      <c r="AL28" s="99"/>
      <c r="AM28" s="99"/>
      <c r="AN28" s="99"/>
      <c r="AO28" s="99"/>
      <c r="AP28" s="99"/>
      <c r="AQ28" s="99"/>
      <c r="AR28" s="99"/>
      <c r="AS28" s="99"/>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c r="FM28" s="98"/>
      <c r="FN28" s="98"/>
      <c r="FO28" s="98"/>
      <c r="FP28" s="98"/>
      <c r="FQ28" s="98"/>
      <c r="FR28" s="98"/>
      <c r="FS28" s="98"/>
      <c r="FT28" s="98"/>
      <c r="FU28" s="98"/>
      <c r="FV28" s="98"/>
      <c r="FW28" s="98"/>
      <c r="FX28" s="98"/>
      <c r="FY28" s="98"/>
      <c r="FZ28" s="98"/>
      <c r="GA28" s="98"/>
      <c r="GB28" s="98"/>
      <c r="GC28" s="98"/>
      <c r="GD28" s="98"/>
      <c r="GE28" s="98"/>
      <c r="GF28" s="98"/>
      <c r="GG28" s="98"/>
      <c r="GH28" s="98"/>
      <c r="GI28" s="98"/>
      <c r="GJ28" s="98"/>
      <c r="GK28" s="98"/>
      <c r="GL28" s="98"/>
      <c r="GM28" s="98"/>
      <c r="GN28" s="98"/>
      <c r="GO28" s="98"/>
      <c r="GP28" s="98"/>
      <c r="GQ28" s="98"/>
      <c r="GR28" s="98"/>
      <c r="GS28" s="98"/>
      <c r="GT28" s="98"/>
      <c r="GU28" s="98"/>
      <c r="GV28" s="98"/>
    </row>
    <row r="29" spans="2:204" x14ac:dyDescent="0.25">
      <c r="B29" s="77" t="s">
        <v>644</v>
      </c>
      <c r="C29" s="50"/>
      <c r="D29" s="76"/>
      <c r="E29" s="50"/>
      <c r="F29" s="151"/>
      <c r="G29" s="151"/>
      <c r="H29" s="83"/>
      <c r="I29" s="83"/>
      <c r="J29" s="83"/>
      <c r="L29" s="83"/>
      <c r="N29" s="83"/>
      <c r="Q29" s="83"/>
      <c r="X29" s="97"/>
      <c r="Y29" s="97"/>
      <c r="Z29" s="97"/>
      <c r="AA29" s="97"/>
      <c r="AB29" s="97"/>
      <c r="AC29" s="97"/>
      <c r="AD29" s="97"/>
      <c r="AE29" s="97"/>
      <c r="AF29" s="97"/>
      <c r="AG29" s="97"/>
      <c r="AH29" s="97"/>
      <c r="AI29" s="97"/>
      <c r="AJ29" s="97"/>
      <c r="AK29" s="97"/>
      <c r="AL29" s="97"/>
      <c r="AM29" s="97"/>
      <c r="AN29" s="97"/>
      <c r="AO29" s="97"/>
      <c r="AP29" s="97"/>
      <c r="AQ29" s="97"/>
      <c r="AR29" s="97"/>
      <c r="AS29" s="97"/>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c r="FA29" s="96"/>
      <c r="FB29" s="96"/>
      <c r="FC29" s="96"/>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c r="GM29" s="96"/>
      <c r="GN29" s="96"/>
      <c r="GO29" s="96"/>
      <c r="GP29" s="96"/>
      <c r="GQ29" s="96"/>
      <c r="GR29" s="96"/>
      <c r="GS29" s="96"/>
      <c r="GT29" s="96"/>
      <c r="GU29" s="96"/>
      <c r="GV29" s="96"/>
    </row>
    <row r="30" spans="2:204" x14ac:dyDescent="0.25">
      <c r="B30" s="155" t="s">
        <v>693</v>
      </c>
      <c r="C30" s="50"/>
      <c r="D30" s="76">
        <v>61.74</v>
      </c>
      <c r="E30" s="50"/>
      <c r="F30" s="151" t="s">
        <v>694</v>
      </c>
      <c r="G30" s="165">
        <v>8613195.9826499987</v>
      </c>
      <c r="H30" s="83"/>
      <c r="I30" s="83"/>
      <c r="J30" s="83"/>
      <c r="L30" s="83"/>
      <c r="N30" s="83"/>
      <c r="Q30" s="83"/>
      <c r="X30" s="97"/>
      <c r="Y30" s="97"/>
      <c r="Z30" s="97"/>
      <c r="AA30" s="97"/>
      <c r="AB30" s="97"/>
      <c r="AC30" s="97"/>
      <c r="AD30" s="97"/>
      <c r="AE30" s="97"/>
      <c r="AF30" s="97"/>
      <c r="AG30" s="97"/>
      <c r="AH30" s="97"/>
      <c r="AI30" s="97"/>
      <c r="AJ30" s="97"/>
      <c r="AK30" s="97"/>
      <c r="AL30" s="97"/>
      <c r="AM30" s="97"/>
      <c r="AN30" s="97"/>
      <c r="AO30" s="97"/>
      <c r="AP30" s="97"/>
      <c r="AQ30" s="97"/>
      <c r="AR30" s="97"/>
      <c r="AS30" s="97"/>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c r="FA30" s="96"/>
      <c r="FB30" s="96"/>
      <c r="FC30" s="96"/>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96"/>
      <c r="GI30" s="96"/>
      <c r="GJ30" s="96"/>
      <c r="GK30" s="96"/>
      <c r="GL30" s="96"/>
      <c r="GM30" s="96"/>
      <c r="GN30" s="96"/>
      <c r="GO30" s="96"/>
      <c r="GP30" s="96"/>
      <c r="GQ30" s="96"/>
      <c r="GR30" s="96"/>
      <c r="GS30" s="96"/>
      <c r="GT30" s="96"/>
      <c r="GU30" s="96"/>
      <c r="GV30" s="96"/>
    </row>
    <row r="31" spans="2:204" x14ac:dyDescent="0.25">
      <c r="B31" s="75" t="s">
        <v>695</v>
      </c>
      <c r="C31" s="50"/>
      <c r="D31" s="76">
        <v>72</v>
      </c>
      <c r="E31" s="50"/>
      <c r="F31" s="151" t="s">
        <v>694</v>
      </c>
      <c r="G31" s="165">
        <v>10044543.419999998</v>
      </c>
      <c r="H31" s="83"/>
      <c r="I31" s="83"/>
      <c r="J31" s="83"/>
      <c r="L31" s="83"/>
      <c r="N31" s="83"/>
      <c r="Q31" s="83"/>
      <c r="X31" s="97"/>
      <c r="Y31" s="97"/>
      <c r="Z31" s="97"/>
      <c r="AA31" s="97"/>
      <c r="AB31" s="97"/>
      <c r="AC31" s="97"/>
      <c r="AD31" s="97"/>
      <c r="AE31" s="97"/>
      <c r="AF31" s="97"/>
      <c r="AG31" s="97"/>
      <c r="AH31" s="97"/>
      <c r="AI31" s="97"/>
      <c r="AJ31" s="97"/>
      <c r="AK31" s="97"/>
      <c r="AL31" s="97"/>
      <c r="AM31" s="97"/>
      <c r="AN31" s="97"/>
      <c r="AO31" s="97"/>
      <c r="AP31" s="97"/>
      <c r="AQ31" s="97"/>
      <c r="AR31" s="97"/>
      <c r="AS31" s="97"/>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row>
    <row r="32" spans="2:204" x14ac:dyDescent="0.25">
      <c r="B32" s="75" t="s">
        <v>696</v>
      </c>
      <c r="C32" s="50"/>
      <c r="D32" s="76">
        <v>10.4</v>
      </c>
      <c r="E32" s="50"/>
      <c r="F32" s="151" t="s">
        <v>694</v>
      </c>
      <c r="G32" s="165">
        <v>1450878.4939999999</v>
      </c>
      <c r="H32" s="83"/>
      <c r="I32" s="83"/>
      <c r="J32" s="83"/>
      <c r="L32" s="83"/>
      <c r="N32" s="83"/>
      <c r="Q32" s="83"/>
      <c r="X32" s="97"/>
      <c r="Y32" s="97"/>
      <c r="Z32" s="97"/>
      <c r="AA32" s="97"/>
      <c r="AB32" s="97"/>
      <c r="AC32" s="97"/>
      <c r="AD32" s="97"/>
      <c r="AE32" s="97"/>
      <c r="AF32" s="97"/>
      <c r="AG32" s="97"/>
      <c r="AH32" s="97"/>
      <c r="AI32" s="97"/>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row>
    <row r="33" spans="2:40" ht="15.75" x14ac:dyDescent="0.25">
      <c r="B33" s="75" t="s">
        <v>697</v>
      </c>
      <c r="C33" s="50"/>
      <c r="D33" s="76">
        <v>60</v>
      </c>
      <c r="E33" s="50"/>
      <c r="F33" s="151" t="s">
        <v>694</v>
      </c>
      <c r="G33" s="165">
        <v>8370452.8499999996</v>
      </c>
      <c r="H33" s="83"/>
      <c r="I33" s="83"/>
      <c r="J33" s="83"/>
      <c r="L33" s="83"/>
      <c r="N33" s="83"/>
      <c r="Q33" s="83"/>
      <c r="X33" s="97"/>
      <c r="Y33" s="97"/>
      <c r="Z33" s="97"/>
      <c r="AA33" s="97"/>
      <c r="AB33" s="97"/>
      <c r="AC33" s="97"/>
      <c r="AD33" s="97"/>
      <c r="AE33" s="97"/>
      <c r="AF33" s="97"/>
      <c r="AG33" s="97"/>
      <c r="AH33" s="97"/>
      <c r="AI33" s="97"/>
      <c r="AJ33" s="83"/>
      <c r="AK33" s="94"/>
      <c r="AL33" s="95"/>
      <c r="AM33" s="95"/>
      <c r="AN33" s="95"/>
    </row>
    <row r="34" spans="2:40" x14ac:dyDescent="0.25">
      <c r="B34" s="148" t="s">
        <v>648</v>
      </c>
      <c r="C34" s="50"/>
      <c r="D34" s="76"/>
      <c r="E34" s="50"/>
      <c r="F34" s="151" t="s">
        <v>694</v>
      </c>
      <c r="G34" s="165"/>
      <c r="H34" s="83"/>
      <c r="I34" s="83"/>
      <c r="J34" s="83"/>
      <c r="L34" s="83"/>
      <c r="N34" s="83"/>
      <c r="Q34" s="83"/>
      <c r="X34" s="84"/>
      <c r="Y34" s="86"/>
      <c r="Z34" s="86"/>
      <c r="AA34" s="86"/>
      <c r="AB34" s="83"/>
      <c r="AC34" s="83"/>
      <c r="AD34" s="83"/>
      <c r="AE34" s="83"/>
      <c r="AF34" s="83"/>
      <c r="AG34" s="84"/>
      <c r="AH34" s="86"/>
      <c r="AI34" s="83"/>
      <c r="AJ34" s="83"/>
      <c r="AK34" s="83"/>
      <c r="AL34" s="83"/>
      <c r="AM34" s="83"/>
      <c r="AN34" s="83"/>
    </row>
    <row r="35" spans="2:40" x14ac:dyDescent="0.25">
      <c r="B35" s="155" t="s">
        <v>693</v>
      </c>
      <c r="C35" s="50"/>
      <c r="D35" s="76">
        <v>94.74</v>
      </c>
      <c r="E35" s="50"/>
      <c r="F35" s="151" t="s">
        <v>694</v>
      </c>
      <c r="G35" s="165">
        <v>928047.93389999983</v>
      </c>
      <c r="H35" s="83"/>
      <c r="I35" s="83"/>
      <c r="J35" s="83"/>
      <c r="L35" s="83"/>
      <c r="N35" s="83"/>
      <c r="Q35" s="83"/>
      <c r="X35" s="84"/>
      <c r="Y35" s="86"/>
      <c r="Z35" s="86"/>
      <c r="AA35" s="86"/>
      <c r="AB35" s="83"/>
      <c r="AC35" s="83"/>
      <c r="AD35" s="83"/>
      <c r="AE35" s="83"/>
      <c r="AF35" s="83"/>
      <c r="AG35" s="84"/>
      <c r="AH35" s="86"/>
      <c r="AI35" s="83"/>
      <c r="AJ35" s="83"/>
      <c r="AK35" s="83"/>
      <c r="AL35" s="83"/>
      <c r="AM35" s="83"/>
      <c r="AN35" s="83"/>
    </row>
    <row r="36" spans="2:40" x14ac:dyDescent="0.25">
      <c r="B36" s="75" t="s">
        <v>695</v>
      </c>
      <c r="C36" s="50"/>
      <c r="D36" s="76">
        <v>14.58</v>
      </c>
      <c r="E36" s="50"/>
      <c r="F36" s="151" t="s">
        <v>694</v>
      </c>
      <c r="G36" s="165">
        <v>142821.81629999998</v>
      </c>
      <c r="H36" s="83"/>
      <c r="I36" s="83"/>
      <c r="J36" s="83"/>
      <c r="L36" s="83"/>
      <c r="N36" s="83"/>
      <c r="Q36" s="83"/>
      <c r="X36" s="84"/>
      <c r="Y36" s="86"/>
      <c r="Z36" s="86"/>
      <c r="AA36" s="86"/>
      <c r="AB36" s="83"/>
      <c r="AC36" s="83"/>
      <c r="AD36" s="83"/>
      <c r="AE36" s="83"/>
      <c r="AF36" s="83"/>
      <c r="AG36" s="84"/>
      <c r="AH36" s="86"/>
      <c r="AI36" s="83"/>
      <c r="AJ36" s="83"/>
      <c r="AK36" s="83"/>
      <c r="AL36" s="83"/>
      <c r="AM36" s="83"/>
      <c r="AN36" s="83"/>
    </row>
    <row r="37" spans="2:40" x14ac:dyDescent="0.25">
      <c r="B37" s="75" t="s">
        <v>696</v>
      </c>
      <c r="C37" s="50"/>
      <c r="D37" s="76">
        <v>12.15</v>
      </c>
      <c r="E37" s="50"/>
      <c r="F37" s="151" t="s">
        <v>694</v>
      </c>
      <c r="G37" s="165">
        <v>119018.18024999999</v>
      </c>
      <c r="H37" s="83"/>
      <c r="I37" s="83"/>
      <c r="J37" s="83"/>
      <c r="L37" s="83"/>
      <c r="N37" s="83"/>
      <c r="Q37" s="83"/>
      <c r="X37" s="84"/>
      <c r="Y37" s="86"/>
      <c r="Z37" s="86"/>
      <c r="AA37" s="86"/>
      <c r="AB37" s="83"/>
      <c r="AC37" s="83"/>
      <c r="AD37" s="83"/>
      <c r="AE37" s="83"/>
      <c r="AF37" s="83"/>
      <c r="AG37" s="84"/>
      <c r="AH37" s="85"/>
      <c r="AI37" s="83"/>
      <c r="AJ37" s="83"/>
      <c r="AK37" s="83"/>
      <c r="AL37" s="83"/>
      <c r="AM37" s="83"/>
      <c r="AN37" s="83"/>
    </row>
    <row r="38" spans="2:40" x14ac:dyDescent="0.25">
      <c r="B38" s="75" t="s">
        <v>697</v>
      </c>
      <c r="C38" s="50"/>
      <c r="D38" s="76">
        <v>59.13</v>
      </c>
      <c r="E38" s="50"/>
      <c r="F38" s="151" t="s">
        <v>694</v>
      </c>
      <c r="G38" s="165">
        <v>579221.81054999994</v>
      </c>
      <c r="H38" s="83"/>
      <c r="I38" s="83"/>
      <c r="J38" s="83"/>
      <c r="L38" s="83"/>
      <c r="N38" s="83"/>
      <c r="Q38" s="83"/>
      <c r="X38" s="84"/>
      <c r="Y38" s="86"/>
      <c r="Z38" s="86"/>
      <c r="AA38" s="86"/>
      <c r="AB38" s="83"/>
      <c r="AC38" s="83"/>
      <c r="AD38" s="83"/>
      <c r="AE38" s="83"/>
      <c r="AF38" s="84"/>
      <c r="AG38" s="84"/>
      <c r="AH38" s="85"/>
      <c r="AI38" s="83"/>
      <c r="AJ38" s="83"/>
      <c r="AK38" s="83"/>
      <c r="AL38" s="83"/>
      <c r="AM38" s="83"/>
      <c r="AN38" s="83"/>
    </row>
    <row r="39" spans="2:40" x14ac:dyDescent="0.25">
      <c r="B39" s="148" t="s">
        <v>652</v>
      </c>
      <c r="C39" s="50"/>
      <c r="D39" s="76"/>
      <c r="E39" s="50"/>
      <c r="F39" s="151" t="s">
        <v>694</v>
      </c>
      <c r="G39" s="165"/>
      <c r="H39" s="83"/>
      <c r="I39" s="83"/>
      <c r="J39" s="83"/>
      <c r="L39" s="83"/>
      <c r="N39" s="83"/>
      <c r="Q39" s="83"/>
      <c r="X39" s="84"/>
      <c r="Y39" s="86"/>
      <c r="Z39" s="86"/>
      <c r="AA39" s="86"/>
      <c r="AB39" s="83"/>
      <c r="AC39" s="83"/>
      <c r="AD39" s="83"/>
      <c r="AE39" s="83"/>
      <c r="AF39" s="83"/>
      <c r="AG39" s="84"/>
      <c r="AH39" s="85"/>
      <c r="AI39" s="83"/>
      <c r="AJ39" s="83"/>
      <c r="AK39" s="83"/>
      <c r="AL39" s="83"/>
      <c r="AM39" s="83"/>
      <c r="AN39" s="83"/>
    </row>
    <row r="40" spans="2:40" x14ac:dyDescent="0.25">
      <c r="B40" s="155" t="s">
        <v>693</v>
      </c>
      <c r="C40" s="50"/>
      <c r="D40" s="76">
        <v>0</v>
      </c>
      <c r="E40" s="50"/>
      <c r="F40" s="151" t="s">
        <v>694</v>
      </c>
      <c r="G40" s="165">
        <v>0</v>
      </c>
      <c r="H40" s="83"/>
      <c r="I40" s="83"/>
      <c r="J40" s="83"/>
      <c r="L40" s="83"/>
      <c r="N40" s="83"/>
      <c r="Q40" s="83"/>
      <c r="X40" s="84"/>
      <c r="Y40" s="86"/>
      <c r="Z40" s="86"/>
      <c r="AA40" s="86"/>
      <c r="AB40" s="83"/>
      <c r="AC40" s="83"/>
      <c r="AD40" s="83"/>
      <c r="AE40" s="83"/>
      <c r="AF40" s="83"/>
      <c r="AG40" s="84"/>
      <c r="AH40" s="85"/>
      <c r="AI40" s="83"/>
      <c r="AJ40" s="83"/>
      <c r="AK40" s="83"/>
      <c r="AL40" s="83"/>
      <c r="AM40" s="83"/>
      <c r="AN40" s="83"/>
    </row>
    <row r="41" spans="2:40" x14ac:dyDescent="0.25">
      <c r="B41" s="75" t="s">
        <v>695</v>
      </c>
      <c r="C41" s="50"/>
      <c r="D41" s="76">
        <v>72</v>
      </c>
      <c r="E41" s="50"/>
      <c r="F41" s="151" t="s">
        <v>694</v>
      </c>
      <c r="G41" s="165">
        <v>8998755.2999999989</v>
      </c>
      <c r="H41" s="83"/>
      <c r="I41" s="83"/>
      <c r="J41" s="83"/>
      <c r="L41" s="83"/>
      <c r="N41" s="83"/>
      <c r="Q41" s="83"/>
      <c r="X41" s="84"/>
      <c r="Y41" s="86"/>
      <c r="Z41" s="86"/>
      <c r="AA41" s="86"/>
      <c r="AB41" s="83"/>
      <c r="AC41" s="83"/>
      <c r="AD41" s="83"/>
      <c r="AE41" s="83"/>
      <c r="AF41" s="83"/>
      <c r="AG41" s="84"/>
      <c r="AH41" s="85"/>
      <c r="AI41" s="83"/>
      <c r="AJ41" s="83"/>
      <c r="AK41" s="83"/>
      <c r="AL41" s="83"/>
      <c r="AM41" s="83"/>
      <c r="AN41" s="83"/>
    </row>
    <row r="42" spans="2:40" x14ac:dyDescent="0.25">
      <c r="B42" s="75" t="s">
        <v>696</v>
      </c>
      <c r="C42" s="50"/>
      <c r="D42" s="76">
        <v>10.4</v>
      </c>
      <c r="E42" s="50"/>
      <c r="F42" s="151" t="s">
        <v>694</v>
      </c>
      <c r="G42" s="165">
        <v>1299820.21</v>
      </c>
      <c r="H42" s="83"/>
      <c r="I42" s="83"/>
      <c r="J42" s="83"/>
      <c r="L42" s="83"/>
      <c r="N42" s="83"/>
      <c r="Q42" s="83"/>
      <c r="X42" s="84"/>
      <c r="Y42" s="86"/>
      <c r="Z42" s="86"/>
      <c r="AA42" s="86"/>
      <c r="AB42" s="83"/>
      <c r="AC42" s="83"/>
      <c r="AD42" s="83"/>
      <c r="AE42" s="83"/>
      <c r="AF42" s="83"/>
      <c r="AG42" s="84"/>
      <c r="AH42" s="85"/>
      <c r="AI42" s="83"/>
      <c r="AJ42" s="83"/>
      <c r="AK42" s="83"/>
      <c r="AL42" s="83"/>
      <c r="AM42" s="83"/>
      <c r="AN42" s="83"/>
    </row>
    <row r="43" spans="2:40" x14ac:dyDescent="0.25">
      <c r="B43" s="75" t="s">
        <v>697</v>
      </c>
      <c r="C43" s="50"/>
      <c r="D43" s="76">
        <v>60</v>
      </c>
      <c r="E43" s="50"/>
      <c r="F43" s="151" t="s">
        <v>694</v>
      </c>
      <c r="G43" s="165">
        <v>7498962.75</v>
      </c>
      <c r="H43" s="83"/>
      <c r="I43" s="83"/>
      <c r="J43" s="83"/>
      <c r="L43" s="83"/>
      <c r="N43" s="83"/>
      <c r="Q43" s="83"/>
      <c r="X43" s="84"/>
      <c r="Y43" s="86"/>
      <c r="Z43" s="86"/>
      <c r="AA43" s="86"/>
      <c r="AB43" s="83"/>
      <c r="AC43" s="83"/>
      <c r="AD43" s="83"/>
      <c r="AE43" s="83"/>
      <c r="AF43" s="83"/>
      <c r="AG43" s="84"/>
      <c r="AH43" s="86"/>
      <c r="AI43" s="83"/>
      <c r="AJ43" s="83"/>
      <c r="AK43" s="83"/>
      <c r="AL43" s="83"/>
      <c r="AM43" s="83"/>
      <c r="AN43" s="83"/>
    </row>
    <row r="44" spans="2:40" x14ac:dyDescent="0.25">
      <c r="B44" s="148" t="s">
        <v>656</v>
      </c>
      <c r="C44" s="50"/>
      <c r="D44" s="76"/>
      <c r="E44" s="50"/>
      <c r="F44" s="151" t="s">
        <v>694</v>
      </c>
      <c r="G44" s="165"/>
      <c r="H44" s="83"/>
      <c r="I44" s="83"/>
      <c r="J44" s="83"/>
      <c r="L44" s="83"/>
      <c r="N44" s="83"/>
      <c r="Q44" s="83"/>
      <c r="X44" s="84"/>
      <c r="Y44" s="86"/>
      <c r="Z44" s="86"/>
      <c r="AA44" s="86"/>
      <c r="AB44" s="83"/>
      <c r="AC44" s="83"/>
      <c r="AD44" s="83"/>
      <c r="AE44" s="83"/>
      <c r="AF44" s="83"/>
      <c r="AG44" s="84"/>
      <c r="AH44" s="86"/>
      <c r="AI44" s="83"/>
      <c r="AJ44" s="83"/>
      <c r="AK44" s="83"/>
      <c r="AL44" s="83"/>
      <c r="AM44" s="83"/>
      <c r="AN44" s="83"/>
    </row>
    <row r="45" spans="2:40" x14ac:dyDescent="0.25">
      <c r="B45" s="155" t="s">
        <v>693</v>
      </c>
      <c r="C45" s="50"/>
      <c r="D45" s="76">
        <v>0</v>
      </c>
      <c r="E45" s="50"/>
      <c r="F45" s="151" t="s">
        <v>694</v>
      </c>
      <c r="G45" s="165">
        <v>0</v>
      </c>
      <c r="H45" s="83"/>
      <c r="I45" s="83"/>
      <c r="J45" s="83"/>
      <c r="L45" s="83"/>
      <c r="N45" s="83"/>
      <c r="Q45" s="83"/>
      <c r="X45" s="84"/>
      <c r="Y45" s="86"/>
      <c r="Z45" s="86"/>
      <c r="AA45" s="86"/>
      <c r="AB45" s="83"/>
      <c r="AC45" s="83"/>
      <c r="AD45" s="83"/>
      <c r="AE45" s="83"/>
      <c r="AF45" s="83"/>
      <c r="AG45" s="84"/>
      <c r="AH45" s="86"/>
      <c r="AI45" s="83"/>
      <c r="AJ45" s="83"/>
      <c r="AK45" s="83"/>
      <c r="AL45" s="83"/>
      <c r="AM45" s="83"/>
      <c r="AN45" s="83"/>
    </row>
    <row r="46" spans="2:40" x14ac:dyDescent="0.25">
      <c r="B46" s="75" t="s">
        <v>695</v>
      </c>
      <c r="C46" s="50"/>
      <c r="D46" s="76">
        <v>79.2</v>
      </c>
      <c r="E46" s="50"/>
      <c r="F46" s="151" t="s">
        <v>694</v>
      </c>
      <c r="G46" s="165">
        <v>2834317.1340000001</v>
      </c>
      <c r="H46" s="83"/>
      <c r="I46" s="83"/>
      <c r="J46" s="83"/>
      <c r="L46" s="83"/>
      <c r="N46" s="83"/>
      <c r="Q46" s="83"/>
      <c r="X46" s="84"/>
      <c r="Y46" s="86"/>
      <c r="Z46" s="86"/>
      <c r="AA46" s="86"/>
      <c r="AB46" s="83"/>
      <c r="AC46" s="83"/>
      <c r="AD46" s="83"/>
      <c r="AE46" s="83"/>
      <c r="AF46" s="83"/>
      <c r="AG46" s="84"/>
      <c r="AH46" s="85"/>
      <c r="AI46" s="83"/>
      <c r="AJ46" s="83"/>
      <c r="AK46" s="83"/>
      <c r="AL46" s="83"/>
      <c r="AM46" s="83"/>
      <c r="AN46" s="83"/>
    </row>
    <row r="47" spans="2:40" x14ac:dyDescent="0.25">
      <c r="B47" s="75" t="s">
        <v>696</v>
      </c>
      <c r="C47" s="50"/>
      <c r="D47" s="76">
        <v>12</v>
      </c>
      <c r="E47" s="50"/>
      <c r="F47" s="151" t="s">
        <v>694</v>
      </c>
      <c r="G47" s="165">
        <v>429441.99</v>
      </c>
      <c r="H47" s="83"/>
      <c r="I47" s="83"/>
      <c r="J47" s="83"/>
      <c r="L47" s="83"/>
      <c r="N47" s="83"/>
      <c r="Q47" s="83"/>
      <c r="X47" s="84"/>
      <c r="Y47" s="86"/>
      <c r="Z47" s="86"/>
      <c r="AA47" s="86"/>
      <c r="AB47" s="83"/>
      <c r="AC47" s="83"/>
      <c r="AD47" s="83"/>
      <c r="AE47" s="83"/>
      <c r="AF47" s="84"/>
      <c r="AG47" s="84"/>
      <c r="AH47" s="85"/>
      <c r="AI47" s="83"/>
      <c r="AJ47" s="83"/>
      <c r="AK47" s="83"/>
      <c r="AL47" s="83"/>
      <c r="AM47" s="83"/>
      <c r="AN47" s="83"/>
    </row>
    <row r="48" spans="2:40" x14ac:dyDescent="0.25">
      <c r="B48" s="75" t="s">
        <v>697</v>
      </c>
      <c r="C48" s="50"/>
      <c r="D48" s="76">
        <v>65.599999999999994</v>
      </c>
      <c r="E48" s="50"/>
      <c r="F48" s="151" t="s">
        <v>694</v>
      </c>
      <c r="G48" s="165">
        <v>2347616.2119999994</v>
      </c>
      <c r="H48" s="83"/>
      <c r="I48" s="83"/>
      <c r="J48" s="83"/>
      <c r="L48" s="83"/>
      <c r="N48" s="83"/>
      <c r="Q48" s="83"/>
      <c r="X48" s="84"/>
      <c r="Y48" s="86"/>
      <c r="Z48" s="86"/>
      <c r="AA48" s="86"/>
      <c r="AB48" s="83"/>
      <c r="AC48" s="83"/>
      <c r="AD48" s="83"/>
      <c r="AE48" s="83"/>
      <c r="AF48" s="83"/>
      <c r="AG48" s="84"/>
      <c r="AH48" s="85"/>
      <c r="AI48" s="83"/>
      <c r="AJ48" s="83"/>
      <c r="AK48" s="83"/>
      <c r="AL48" s="83"/>
      <c r="AM48" s="83"/>
      <c r="AN48" s="83"/>
    </row>
    <row r="49" spans="2:34" x14ac:dyDescent="0.25">
      <c r="B49" s="148" t="s">
        <v>668</v>
      </c>
      <c r="C49" s="50"/>
      <c r="D49" s="76"/>
      <c r="E49" s="50"/>
      <c r="F49" s="151" t="s">
        <v>694</v>
      </c>
      <c r="G49" s="165"/>
      <c r="H49" s="83"/>
      <c r="I49" s="83"/>
      <c r="J49" s="83"/>
      <c r="L49" s="83"/>
      <c r="N49" s="83"/>
      <c r="Q49" s="83"/>
      <c r="X49" s="84"/>
      <c r="Y49" s="86"/>
      <c r="Z49" s="86"/>
      <c r="AA49" s="86"/>
      <c r="AB49" s="83"/>
      <c r="AC49" s="83"/>
      <c r="AD49" s="83"/>
      <c r="AE49" s="83"/>
      <c r="AF49" s="83"/>
      <c r="AG49" s="84"/>
      <c r="AH49" s="85"/>
    </row>
    <row r="50" spans="2:34" x14ac:dyDescent="0.25">
      <c r="B50" s="155" t="s">
        <v>693</v>
      </c>
      <c r="C50" s="50"/>
      <c r="D50" s="76">
        <v>0</v>
      </c>
      <c r="E50" s="50"/>
      <c r="F50" s="151" t="s">
        <v>694</v>
      </c>
      <c r="G50" s="165">
        <v>0</v>
      </c>
      <c r="H50" s="83"/>
      <c r="I50" s="83"/>
      <c r="J50" s="83"/>
      <c r="L50" s="83"/>
      <c r="N50" s="83"/>
      <c r="Q50" s="83"/>
      <c r="X50" s="84"/>
      <c r="Y50" s="86"/>
      <c r="Z50" s="86"/>
      <c r="AA50" s="86"/>
      <c r="AB50" s="83"/>
      <c r="AC50" s="83"/>
      <c r="AD50" s="83"/>
      <c r="AE50" s="83"/>
      <c r="AF50" s="83"/>
      <c r="AG50" s="84"/>
      <c r="AH50" s="85"/>
    </row>
    <row r="51" spans="2:34" x14ac:dyDescent="0.25">
      <c r="B51" s="75" t="s">
        <v>695</v>
      </c>
      <c r="C51" s="50"/>
      <c r="D51" s="76">
        <v>26.46</v>
      </c>
      <c r="E51" s="50"/>
      <c r="F51" s="151" t="s">
        <v>694</v>
      </c>
      <c r="G51" s="165">
        <v>708691.21154999989</v>
      </c>
      <c r="H51" s="83"/>
      <c r="I51" s="83"/>
      <c r="J51" s="83"/>
      <c r="L51" s="83"/>
      <c r="N51" s="83"/>
      <c r="Q51" s="83"/>
      <c r="X51" s="84"/>
      <c r="Y51" s="86"/>
      <c r="Z51" s="86"/>
      <c r="AA51" s="86"/>
      <c r="AB51" s="83"/>
      <c r="AC51" s="83"/>
      <c r="AD51" s="83"/>
      <c r="AE51" s="83"/>
      <c r="AF51" s="83"/>
      <c r="AG51" s="84"/>
      <c r="AH51" s="85"/>
    </row>
    <row r="52" spans="2:34" x14ac:dyDescent="0.25">
      <c r="B52" s="75" t="s">
        <v>696</v>
      </c>
      <c r="C52" s="50"/>
      <c r="D52" s="76">
        <v>15.68</v>
      </c>
      <c r="E52" s="50"/>
      <c r="F52" s="151" t="s">
        <v>694</v>
      </c>
      <c r="G52" s="165">
        <v>419965.16239999991</v>
      </c>
      <c r="H52" s="83"/>
      <c r="I52" s="83"/>
      <c r="J52" s="83"/>
      <c r="L52" s="83"/>
      <c r="N52" s="83"/>
      <c r="Q52" s="83"/>
      <c r="X52" s="84"/>
      <c r="Y52" s="86"/>
      <c r="Z52" s="86"/>
      <c r="AA52" s="86"/>
      <c r="AB52" s="83"/>
      <c r="AC52" s="83"/>
      <c r="AD52" s="83"/>
      <c r="AE52" s="83"/>
      <c r="AF52" s="83"/>
      <c r="AG52" s="84"/>
      <c r="AH52" s="86"/>
    </row>
    <row r="53" spans="2:34" x14ac:dyDescent="0.25">
      <c r="B53" s="75" t="s">
        <v>697</v>
      </c>
      <c r="C53" s="50"/>
      <c r="D53" s="76">
        <v>60.76</v>
      </c>
      <c r="E53" s="50"/>
      <c r="F53" s="151" t="s">
        <v>694</v>
      </c>
      <c r="G53" s="165">
        <v>1627365.0042999997</v>
      </c>
      <c r="H53" s="83"/>
      <c r="I53" s="83"/>
      <c r="J53" s="83"/>
      <c r="L53" s="83"/>
      <c r="N53" s="83"/>
      <c r="Q53" s="83"/>
      <c r="X53" s="84"/>
      <c r="Y53" s="86"/>
      <c r="Z53" s="86"/>
      <c r="AA53" s="86"/>
      <c r="AB53" s="83"/>
      <c r="AC53" s="83"/>
      <c r="AD53" s="83"/>
      <c r="AE53" s="83"/>
      <c r="AF53" s="83"/>
      <c r="AG53" s="84"/>
      <c r="AH53" s="86"/>
    </row>
    <row r="54" spans="2:34" x14ac:dyDescent="0.25">
      <c r="B54" s="148" t="s">
        <v>671</v>
      </c>
      <c r="C54" s="50"/>
      <c r="D54" s="76"/>
      <c r="E54" s="50"/>
      <c r="F54" s="151" t="s">
        <v>694</v>
      </c>
      <c r="G54" s="165"/>
      <c r="H54" s="83"/>
      <c r="I54" s="83"/>
      <c r="J54" s="83"/>
      <c r="L54" s="83"/>
      <c r="N54" s="83"/>
      <c r="Q54" s="83"/>
      <c r="X54" s="84"/>
      <c r="Y54" s="86"/>
      <c r="Z54" s="86"/>
      <c r="AA54" s="86"/>
      <c r="AB54" s="83"/>
      <c r="AC54" s="83"/>
      <c r="AD54" s="83"/>
      <c r="AE54" s="83"/>
      <c r="AF54" s="83"/>
      <c r="AG54" s="84"/>
      <c r="AH54" s="86"/>
    </row>
    <row r="55" spans="2:34" x14ac:dyDescent="0.25">
      <c r="B55" s="155" t="s">
        <v>693</v>
      </c>
      <c r="C55" s="50"/>
      <c r="D55" s="76">
        <v>0</v>
      </c>
      <c r="E55" s="50"/>
      <c r="F55" s="151" t="s">
        <v>694</v>
      </c>
      <c r="G55" s="165">
        <v>0</v>
      </c>
      <c r="H55" s="83"/>
      <c r="I55" s="83"/>
      <c r="J55" s="83"/>
      <c r="L55" s="83"/>
      <c r="N55" s="83"/>
      <c r="Q55" s="83"/>
      <c r="X55" s="84"/>
      <c r="Y55" s="86"/>
      <c r="Z55" s="86"/>
      <c r="AA55" s="86"/>
      <c r="AB55" s="83"/>
      <c r="AC55" s="83"/>
      <c r="AD55" s="83"/>
      <c r="AE55" s="83"/>
      <c r="AF55" s="83"/>
      <c r="AG55" s="84"/>
      <c r="AH55" s="85"/>
    </row>
    <row r="56" spans="2:34" x14ac:dyDescent="0.25">
      <c r="B56" s="75" t="s">
        <v>695</v>
      </c>
      <c r="C56" s="50"/>
      <c r="D56" s="76">
        <v>35.28</v>
      </c>
      <c r="E56" s="50"/>
      <c r="F56" s="151" t="s">
        <v>694</v>
      </c>
      <c r="G56" s="165">
        <v>543798.77579999994</v>
      </c>
      <c r="H56" s="83"/>
      <c r="I56" s="83"/>
      <c r="J56" s="83"/>
      <c r="L56" s="83"/>
      <c r="N56" s="83"/>
      <c r="Q56" s="83"/>
      <c r="X56" s="84"/>
      <c r="Y56" s="86"/>
      <c r="Z56" s="86"/>
      <c r="AA56" s="86"/>
      <c r="AB56" s="83"/>
      <c r="AC56" s="83"/>
      <c r="AD56" s="83"/>
      <c r="AE56" s="83"/>
      <c r="AF56" s="84"/>
      <c r="AG56" s="84"/>
      <c r="AH56" s="85"/>
    </row>
    <row r="57" spans="2:34" x14ac:dyDescent="0.25">
      <c r="B57" s="75" t="s">
        <v>696</v>
      </c>
      <c r="C57" s="50"/>
      <c r="D57" s="76">
        <v>20.58</v>
      </c>
      <c r="E57" s="50"/>
      <c r="F57" s="151" t="s">
        <v>694</v>
      </c>
      <c r="G57" s="165">
        <v>317215.95254999993</v>
      </c>
      <c r="H57" s="83"/>
      <c r="I57" s="83"/>
      <c r="J57" s="83"/>
      <c r="L57" s="83"/>
      <c r="N57" s="83"/>
      <c r="Q57" s="83"/>
      <c r="X57" s="84"/>
      <c r="Y57" s="86"/>
      <c r="Z57" s="86"/>
      <c r="AA57" s="86"/>
      <c r="AB57" s="83"/>
      <c r="AC57" s="83"/>
      <c r="AD57" s="83"/>
      <c r="AE57" s="83"/>
      <c r="AF57" s="83"/>
      <c r="AG57" s="84"/>
      <c r="AH57" s="85"/>
    </row>
    <row r="58" spans="2:34" x14ac:dyDescent="0.25">
      <c r="B58" s="75" t="s">
        <v>697</v>
      </c>
      <c r="C58" s="50"/>
      <c r="D58" s="76">
        <v>81.34</v>
      </c>
      <c r="E58" s="50"/>
      <c r="F58" s="151" t="s">
        <v>694</v>
      </c>
      <c r="G58" s="165">
        <v>1253758.28865</v>
      </c>
      <c r="H58" s="83"/>
      <c r="I58" s="83"/>
      <c r="J58" s="83"/>
      <c r="L58" s="83"/>
      <c r="N58" s="83"/>
      <c r="Q58" s="83"/>
      <c r="X58" s="84"/>
      <c r="Y58" s="86"/>
      <c r="Z58" s="86"/>
      <c r="AA58" s="86"/>
      <c r="AB58" s="83"/>
      <c r="AC58" s="83"/>
      <c r="AD58" s="83"/>
      <c r="AE58" s="83"/>
      <c r="AF58" s="83"/>
      <c r="AG58" s="84"/>
      <c r="AH58" s="85"/>
    </row>
    <row r="59" spans="2:34" x14ac:dyDescent="0.25">
      <c r="B59" s="148" t="s">
        <v>678</v>
      </c>
      <c r="C59" s="50"/>
      <c r="D59" s="76"/>
      <c r="E59" s="50"/>
      <c r="F59" s="151" t="s">
        <v>694</v>
      </c>
      <c r="G59" s="165"/>
      <c r="H59" s="161"/>
      <c r="I59" s="83"/>
      <c r="J59" s="83"/>
      <c r="L59" s="83"/>
      <c r="N59" s="83"/>
      <c r="Q59" s="83"/>
      <c r="X59" s="84"/>
      <c r="Y59" s="86"/>
      <c r="Z59" s="86"/>
      <c r="AA59" s="86"/>
      <c r="AB59" s="83"/>
      <c r="AC59" s="83"/>
      <c r="AD59" s="83"/>
      <c r="AE59" s="83"/>
      <c r="AF59" s="83"/>
      <c r="AG59" s="84"/>
      <c r="AH59" s="85"/>
    </row>
    <row r="60" spans="2:34" x14ac:dyDescent="0.25">
      <c r="B60" s="155" t="s">
        <v>693</v>
      </c>
      <c r="C60" s="50"/>
      <c r="D60" s="76">
        <v>99.84</v>
      </c>
      <c r="E60" s="50"/>
      <c r="F60" s="151" t="s">
        <v>694</v>
      </c>
      <c r="G60" s="165">
        <v>6549145.3247999987</v>
      </c>
      <c r="H60" s="161"/>
      <c r="I60" s="83"/>
      <c r="J60" s="83"/>
      <c r="L60" s="83"/>
      <c r="N60" s="83"/>
      <c r="Q60" s="83"/>
      <c r="X60" s="84"/>
      <c r="Y60" s="86"/>
      <c r="Z60" s="86"/>
      <c r="AA60" s="86"/>
      <c r="AB60" s="83"/>
      <c r="AC60" s="83"/>
      <c r="AD60" s="83"/>
      <c r="AE60" s="83"/>
      <c r="AF60" s="83"/>
      <c r="AG60" s="84"/>
      <c r="AH60" s="85"/>
    </row>
    <row r="61" spans="2:34" x14ac:dyDescent="0.25">
      <c r="B61" s="75" t="s">
        <v>695</v>
      </c>
      <c r="C61" s="50"/>
      <c r="D61" s="76">
        <v>51.12</v>
      </c>
      <c r="E61" s="50"/>
      <c r="F61" s="151" t="s">
        <v>694</v>
      </c>
      <c r="G61" s="165">
        <v>3353288.3513999991</v>
      </c>
      <c r="H61" s="161"/>
      <c r="I61" s="83"/>
      <c r="J61" s="83"/>
      <c r="L61" s="83"/>
      <c r="N61" s="83"/>
      <c r="Q61" s="83"/>
      <c r="X61" s="84"/>
      <c r="Y61" s="86"/>
      <c r="Z61" s="86"/>
      <c r="AA61" s="86"/>
      <c r="AB61" s="83"/>
      <c r="AC61" s="83"/>
      <c r="AD61" s="83"/>
      <c r="AE61" s="83"/>
      <c r="AF61" s="83"/>
      <c r="AG61" s="84"/>
      <c r="AH61" s="86"/>
    </row>
    <row r="62" spans="2:34" x14ac:dyDescent="0.25">
      <c r="B62" s="75" t="s">
        <v>696</v>
      </c>
      <c r="C62" s="50"/>
      <c r="D62" s="76">
        <v>11.36</v>
      </c>
      <c r="E62" s="50"/>
      <c r="F62" s="151" t="s">
        <v>694</v>
      </c>
      <c r="G62" s="165">
        <v>745175.18919999979</v>
      </c>
      <c r="H62" s="161"/>
      <c r="I62" s="83"/>
      <c r="J62" s="83"/>
      <c r="L62" s="83"/>
      <c r="N62" s="83"/>
      <c r="Q62" s="83"/>
      <c r="X62" s="84"/>
      <c r="Y62" s="86"/>
      <c r="Z62" s="86"/>
      <c r="AA62" s="86"/>
      <c r="AB62" s="83"/>
      <c r="AC62" s="83"/>
      <c r="AD62" s="83"/>
      <c r="AE62" s="83"/>
      <c r="AF62" s="83"/>
      <c r="AG62" s="84"/>
      <c r="AH62" s="86"/>
    </row>
    <row r="63" spans="2:34" x14ac:dyDescent="0.25">
      <c r="B63" s="75" t="s">
        <v>697</v>
      </c>
      <c r="C63" s="50"/>
      <c r="D63" s="76">
        <v>35.5</v>
      </c>
      <c r="E63" s="50"/>
      <c r="F63" s="151" t="s">
        <v>694</v>
      </c>
      <c r="G63" s="165">
        <v>2328672.4662499996</v>
      </c>
      <c r="H63" s="64"/>
      <c r="I63" s="83"/>
      <c r="J63" s="83"/>
      <c r="L63" s="83"/>
      <c r="N63" s="83"/>
      <c r="Q63" s="83"/>
      <c r="X63" s="84"/>
      <c r="Y63" s="86"/>
      <c r="Z63" s="86"/>
      <c r="AA63" s="86"/>
      <c r="AB63" s="83"/>
      <c r="AC63" s="83"/>
      <c r="AD63" s="83"/>
      <c r="AE63" s="83"/>
      <c r="AF63" s="83"/>
      <c r="AG63" s="84"/>
      <c r="AH63" s="86"/>
    </row>
    <row r="64" spans="2:34" x14ac:dyDescent="0.25">
      <c r="B64" s="77" t="s">
        <v>644</v>
      </c>
      <c r="C64" s="50"/>
      <c r="D64" s="76"/>
      <c r="E64" s="50"/>
      <c r="F64" s="151"/>
      <c r="G64" s="151"/>
      <c r="H64" s="161"/>
      <c r="I64" s="83"/>
      <c r="J64" s="83"/>
      <c r="L64" s="83"/>
      <c r="N64" s="83"/>
      <c r="Q64" s="83"/>
      <c r="X64" s="84"/>
      <c r="Y64" s="86"/>
      <c r="Z64" s="86"/>
      <c r="AA64" s="86"/>
      <c r="AB64" s="83"/>
      <c r="AC64" s="83"/>
      <c r="AD64" s="83"/>
      <c r="AE64" s="83"/>
      <c r="AF64" s="83"/>
      <c r="AG64" s="84"/>
      <c r="AH64" s="85"/>
    </row>
    <row r="65" spans="2:34" x14ac:dyDescent="0.25">
      <c r="B65" s="155" t="s">
        <v>698</v>
      </c>
      <c r="C65" s="50"/>
      <c r="D65" s="166">
        <v>4.16</v>
      </c>
      <c r="E65" s="50"/>
      <c r="F65" s="151" t="s">
        <v>694</v>
      </c>
      <c r="G65" s="165">
        <v>580351.39759999991</v>
      </c>
      <c r="H65" s="161"/>
      <c r="I65" s="83"/>
      <c r="J65" s="83"/>
      <c r="L65" s="83"/>
      <c r="N65" s="83"/>
      <c r="Q65" s="83"/>
      <c r="X65" s="84"/>
      <c r="Y65" s="86"/>
      <c r="Z65" s="86"/>
      <c r="AA65" s="86"/>
      <c r="AB65" s="83"/>
      <c r="AC65" s="83"/>
      <c r="AD65" s="83"/>
      <c r="AE65" s="83"/>
      <c r="AF65" s="84"/>
      <c r="AG65" s="84"/>
      <c r="AH65" s="85"/>
    </row>
    <row r="66" spans="2:34" x14ac:dyDescent="0.25">
      <c r="B66" s="75" t="s">
        <v>699</v>
      </c>
      <c r="C66" s="50"/>
      <c r="D66" s="166">
        <v>5.98</v>
      </c>
      <c r="E66" s="50"/>
      <c r="F66" s="151" t="s">
        <v>694</v>
      </c>
      <c r="G66" s="165">
        <v>834255.13404999999</v>
      </c>
      <c r="H66" s="161"/>
      <c r="I66" s="83"/>
      <c r="J66" s="83"/>
      <c r="L66" s="83"/>
      <c r="N66" s="83"/>
      <c r="Q66" s="83"/>
      <c r="X66" s="84"/>
      <c r="Y66" s="86"/>
      <c r="Z66" s="86"/>
      <c r="AA66" s="86"/>
      <c r="AB66" s="83"/>
      <c r="AC66" s="83"/>
      <c r="AD66" s="83"/>
      <c r="AE66" s="83"/>
      <c r="AF66" s="83"/>
      <c r="AG66" s="84"/>
      <c r="AH66" s="85"/>
    </row>
    <row r="67" spans="2:34" x14ac:dyDescent="0.25">
      <c r="B67" s="75" t="s">
        <v>700</v>
      </c>
      <c r="C67" s="50"/>
      <c r="D67" s="166">
        <v>6.75</v>
      </c>
      <c r="E67" s="50"/>
      <c r="F67" s="151" t="s">
        <v>694</v>
      </c>
      <c r="G67" s="165">
        <v>941675.94562499993</v>
      </c>
      <c r="H67" s="161"/>
      <c r="I67" s="83"/>
      <c r="J67" s="83"/>
      <c r="L67" s="83"/>
      <c r="N67" s="83"/>
      <c r="Q67" s="83"/>
      <c r="X67" s="84"/>
      <c r="Y67" s="86"/>
      <c r="Z67" s="86"/>
      <c r="AA67" s="86"/>
      <c r="AB67" s="83"/>
      <c r="AC67" s="83"/>
      <c r="AD67" s="83"/>
      <c r="AE67" s="83"/>
      <c r="AF67" s="83"/>
      <c r="AG67" s="84"/>
      <c r="AH67" s="85"/>
    </row>
    <row r="68" spans="2:34" x14ac:dyDescent="0.25">
      <c r="B68" s="75" t="s">
        <v>701</v>
      </c>
      <c r="C68" s="50"/>
      <c r="D68" s="166">
        <v>6.75</v>
      </c>
      <c r="E68" s="50"/>
      <c r="F68" s="151" t="s">
        <v>694</v>
      </c>
      <c r="G68" s="165">
        <v>941675.94562499993</v>
      </c>
      <c r="H68" s="64"/>
      <c r="I68" s="83"/>
      <c r="J68" s="83"/>
      <c r="L68" s="83"/>
      <c r="N68" s="83"/>
      <c r="Q68" s="83"/>
      <c r="X68" s="84"/>
      <c r="Y68" s="86"/>
      <c r="Z68" s="86"/>
      <c r="AA68" s="86"/>
      <c r="AB68" s="83"/>
      <c r="AC68" s="83"/>
      <c r="AD68" s="83"/>
      <c r="AE68" s="83"/>
      <c r="AF68" s="83"/>
      <c r="AG68" s="84"/>
      <c r="AH68" s="85"/>
    </row>
    <row r="69" spans="2:34" x14ac:dyDescent="0.25">
      <c r="B69" s="77" t="s">
        <v>648</v>
      </c>
      <c r="C69" s="50"/>
      <c r="D69" s="166"/>
      <c r="E69" s="50"/>
      <c r="F69" s="151"/>
      <c r="G69" s="165"/>
      <c r="H69" s="161"/>
      <c r="I69" s="83"/>
      <c r="J69" s="83"/>
      <c r="L69" s="83"/>
      <c r="N69" s="83"/>
      <c r="Q69" s="83"/>
      <c r="X69" s="84"/>
      <c r="Y69" s="86"/>
      <c r="Z69" s="86"/>
      <c r="AA69" s="86"/>
      <c r="AB69" s="83"/>
      <c r="AC69" s="83"/>
      <c r="AD69" s="83"/>
      <c r="AE69" s="83"/>
      <c r="AF69" s="83"/>
      <c r="AG69" s="84"/>
      <c r="AH69" s="85"/>
    </row>
    <row r="70" spans="2:34" x14ac:dyDescent="0.25">
      <c r="B70" s="155" t="s">
        <v>698</v>
      </c>
      <c r="C70" s="50"/>
      <c r="D70" s="166">
        <v>29</v>
      </c>
      <c r="E70" s="50"/>
      <c r="F70" s="151" t="s">
        <v>694</v>
      </c>
      <c r="G70" s="165">
        <v>284076.31499999994</v>
      </c>
      <c r="H70" s="161"/>
      <c r="I70" s="83"/>
      <c r="J70" s="83"/>
      <c r="L70" s="83"/>
      <c r="N70" s="83"/>
      <c r="Q70" s="83"/>
      <c r="X70" s="84"/>
      <c r="Y70" s="86"/>
      <c r="Z70" s="86"/>
      <c r="AA70" s="86"/>
      <c r="AB70" s="83"/>
      <c r="AC70" s="83"/>
      <c r="AD70" s="83"/>
      <c r="AE70" s="83"/>
      <c r="AF70" s="83"/>
      <c r="AG70" s="84"/>
      <c r="AH70" s="86"/>
    </row>
    <row r="71" spans="2:34" x14ac:dyDescent="0.25">
      <c r="B71" s="75" t="s">
        <v>699</v>
      </c>
      <c r="C71" s="50"/>
      <c r="D71" s="166">
        <v>29.42</v>
      </c>
      <c r="E71" s="50"/>
      <c r="F71" s="151" t="s">
        <v>694</v>
      </c>
      <c r="G71" s="165">
        <v>288190.52369999996</v>
      </c>
      <c r="H71" s="161"/>
      <c r="I71" s="83"/>
      <c r="J71" s="83"/>
      <c r="L71" s="83"/>
      <c r="N71" s="83"/>
      <c r="Q71" s="83"/>
      <c r="X71" s="84"/>
      <c r="Y71" s="86"/>
      <c r="Z71" s="86"/>
      <c r="AA71" s="86"/>
      <c r="AB71" s="83"/>
      <c r="AC71" s="83"/>
      <c r="AD71" s="83"/>
      <c r="AE71" s="83"/>
      <c r="AF71" s="83"/>
      <c r="AG71" s="84"/>
      <c r="AH71" s="86"/>
    </row>
    <row r="72" spans="2:34" x14ac:dyDescent="0.25">
      <c r="B72" s="75" t="s">
        <v>700</v>
      </c>
      <c r="C72" s="50"/>
      <c r="D72" s="166">
        <v>13.5</v>
      </c>
      <c r="E72" s="50"/>
      <c r="F72" s="151" t="s">
        <v>694</v>
      </c>
      <c r="G72" s="165">
        <v>132242.42249999999</v>
      </c>
      <c r="H72" s="161"/>
      <c r="I72" s="83"/>
      <c r="J72" s="83"/>
      <c r="L72" s="83"/>
      <c r="N72" s="83"/>
      <c r="Q72" s="83"/>
      <c r="X72" s="84"/>
      <c r="Y72" s="86"/>
      <c r="Z72" s="86"/>
      <c r="AA72" s="86"/>
      <c r="AB72" s="83"/>
      <c r="AC72" s="83"/>
      <c r="AD72" s="83"/>
      <c r="AE72" s="83"/>
      <c r="AF72" s="83"/>
      <c r="AG72" s="84"/>
      <c r="AH72" s="86"/>
    </row>
    <row r="73" spans="2:34" x14ac:dyDescent="0.25">
      <c r="B73" s="75" t="s">
        <v>701</v>
      </c>
      <c r="C73" s="50"/>
      <c r="D73" s="166">
        <v>6.75</v>
      </c>
      <c r="E73" s="50"/>
      <c r="F73" s="151" t="s">
        <v>694</v>
      </c>
      <c r="G73" s="165">
        <v>66121.211249999993</v>
      </c>
      <c r="H73" s="64"/>
      <c r="I73" s="83"/>
      <c r="J73" s="83"/>
      <c r="L73" s="83"/>
      <c r="N73" s="83"/>
      <c r="Q73" s="83"/>
      <c r="X73" s="84"/>
      <c r="Y73" s="86"/>
      <c r="Z73" s="86"/>
      <c r="AA73" s="86"/>
      <c r="AB73" s="83"/>
      <c r="AC73" s="83"/>
      <c r="AD73" s="83"/>
      <c r="AE73" s="83"/>
      <c r="AF73" s="83"/>
      <c r="AG73" s="84"/>
      <c r="AH73" s="85"/>
    </row>
    <row r="74" spans="2:34" x14ac:dyDescent="0.25">
      <c r="B74" s="77" t="s">
        <v>652</v>
      </c>
      <c r="C74" s="50"/>
      <c r="D74" s="166"/>
      <c r="E74" s="50"/>
      <c r="F74" s="151"/>
      <c r="G74" s="165"/>
      <c r="H74" s="161"/>
      <c r="I74" s="83"/>
      <c r="J74" s="83"/>
      <c r="L74" s="83"/>
      <c r="N74" s="83"/>
      <c r="Q74" s="83"/>
      <c r="X74" s="84"/>
      <c r="Y74" s="86"/>
      <c r="Z74" s="86"/>
      <c r="AA74" s="86"/>
      <c r="AB74" s="83"/>
      <c r="AC74" s="83"/>
      <c r="AD74" s="83"/>
      <c r="AE74" s="83"/>
      <c r="AF74" s="84"/>
      <c r="AG74" s="84"/>
      <c r="AH74" s="85"/>
    </row>
    <row r="75" spans="2:34" x14ac:dyDescent="0.25">
      <c r="B75" s="155" t="s">
        <v>698</v>
      </c>
      <c r="C75" s="50"/>
      <c r="D75" s="166">
        <v>6.23</v>
      </c>
      <c r="E75" s="50"/>
      <c r="F75" s="151" t="s">
        <v>694</v>
      </c>
      <c r="G75" s="165">
        <v>778642.29887499998</v>
      </c>
      <c r="H75" s="161"/>
      <c r="I75" s="83"/>
      <c r="J75" s="83"/>
      <c r="L75" s="83"/>
      <c r="N75" s="83"/>
      <c r="Q75" s="83"/>
      <c r="X75" s="84"/>
      <c r="Y75" s="86"/>
      <c r="Z75" s="86"/>
      <c r="AA75" s="86"/>
      <c r="AB75" s="83"/>
      <c r="AC75" s="83"/>
      <c r="AD75" s="83"/>
      <c r="AE75" s="83"/>
      <c r="AF75" s="83"/>
      <c r="AG75" s="84"/>
      <c r="AH75" s="85"/>
    </row>
    <row r="76" spans="2:34" x14ac:dyDescent="0.25">
      <c r="B76" s="75" t="s">
        <v>699</v>
      </c>
      <c r="C76" s="50"/>
      <c r="D76" s="166">
        <v>5.98</v>
      </c>
      <c r="E76" s="50"/>
      <c r="F76" s="151" t="s">
        <v>694</v>
      </c>
      <c r="G76" s="165">
        <v>747396.62075</v>
      </c>
      <c r="H76" s="161"/>
      <c r="I76" s="83"/>
      <c r="J76" s="83"/>
      <c r="L76" s="83"/>
      <c r="N76" s="83"/>
      <c r="Q76" s="83"/>
      <c r="X76" s="84"/>
      <c r="Y76" s="86"/>
      <c r="Z76" s="86"/>
      <c r="AA76" s="86"/>
      <c r="AB76" s="83"/>
      <c r="AC76" s="83"/>
      <c r="AD76" s="83"/>
      <c r="AE76" s="83"/>
      <c r="AF76" s="83"/>
      <c r="AG76" s="84"/>
      <c r="AH76" s="85"/>
    </row>
    <row r="77" spans="2:34" x14ac:dyDescent="0.25">
      <c r="B77" s="75" t="s">
        <v>700</v>
      </c>
      <c r="C77" s="50"/>
      <c r="D77" s="166">
        <v>6.75</v>
      </c>
      <c r="E77" s="50"/>
      <c r="F77" s="151" t="s">
        <v>694</v>
      </c>
      <c r="G77" s="165">
        <v>843633.30937499995</v>
      </c>
      <c r="H77" s="161"/>
      <c r="I77" s="83"/>
      <c r="J77" s="83"/>
      <c r="L77" s="83"/>
      <c r="N77" s="83"/>
      <c r="Q77" s="83"/>
      <c r="X77" s="84"/>
      <c r="Y77" s="86"/>
      <c r="Z77" s="86"/>
      <c r="AA77" s="86"/>
      <c r="AB77" s="83"/>
      <c r="AC77" s="83"/>
      <c r="AD77" s="83"/>
      <c r="AE77" s="83"/>
      <c r="AF77" s="83"/>
      <c r="AG77" s="84"/>
      <c r="AH77" s="85"/>
    </row>
    <row r="78" spans="2:34" x14ac:dyDescent="0.25">
      <c r="B78" s="75" t="s">
        <v>701</v>
      </c>
      <c r="C78" s="50"/>
      <c r="D78" s="166"/>
      <c r="E78" s="50"/>
      <c r="F78" s="151" t="s">
        <v>694</v>
      </c>
      <c r="G78" s="165">
        <v>0</v>
      </c>
      <c r="H78" s="64"/>
      <c r="I78" s="83"/>
      <c r="J78" s="83"/>
      <c r="L78" s="83"/>
      <c r="N78" s="83"/>
      <c r="Q78" s="83"/>
      <c r="X78" s="84"/>
      <c r="Y78" s="86"/>
      <c r="Z78" s="86"/>
      <c r="AA78" s="86"/>
      <c r="AB78" s="83"/>
      <c r="AC78" s="83"/>
      <c r="AD78" s="83"/>
      <c r="AE78" s="83"/>
      <c r="AF78" s="83"/>
      <c r="AG78" s="84"/>
      <c r="AH78" s="85"/>
    </row>
    <row r="79" spans="2:34" x14ac:dyDescent="0.25">
      <c r="B79" s="77" t="s">
        <v>656</v>
      </c>
      <c r="C79" s="50"/>
      <c r="D79" s="166"/>
      <c r="E79" s="50"/>
      <c r="F79" s="151"/>
      <c r="G79" s="165"/>
      <c r="H79" s="161"/>
      <c r="I79" s="83"/>
      <c r="J79" s="83"/>
      <c r="L79" s="83"/>
      <c r="N79" s="83"/>
      <c r="Q79" s="83"/>
      <c r="X79" s="84"/>
      <c r="Y79" s="86"/>
      <c r="Z79" s="86"/>
      <c r="AA79" s="86"/>
      <c r="AB79" s="83"/>
      <c r="AC79" s="83"/>
      <c r="AD79" s="83"/>
      <c r="AE79" s="83"/>
      <c r="AF79" s="83"/>
      <c r="AG79" s="84"/>
      <c r="AH79" s="86"/>
    </row>
    <row r="80" spans="2:34" x14ac:dyDescent="0.25">
      <c r="B80" s="155" t="s">
        <v>698</v>
      </c>
      <c r="C80" s="50"/>
      <c r="D80" s="166">
        <v>4.16</v>
      </c>
      <c r="E80" s="50"/>
      <c r="F80" s="151" t="s">
        <v>694</v>
      </c>
      <c r="G80" s="165">
        <v>148873.22319999998</v>
      </c>
      <c r="H80" s="161"/>
      <c r="I80" s="83"/>
      <c r="J80" s="83"/>
      <c r="L80" s="83"/>
      <c r="N80" s="83"/>
      <c r="Q80" s="83"/>
      <c r="X80" s="84"/>
      <c r="Y80" s="86"/>
      <c r="Z80" s="86"/>
      <c r="AA80" s="86"/>
      <c r="AB80" s="83"/>
      <c r="AC80" s="83"/>
      <c r="AD80" s="83"/>
      <c r="AE80" s="83"/>
      <c r="AF80" s="83"/>
      <c r="AG80" s="84"/>
      <c r="AH80" s="86"/>
    </row>
    <row r="81" spans="2:34" x14ac:dyDescent="0.25">
      <c r="B81" s="75" t="s">
        <v>699</v>
      </c>
      <c r="C81" s="50"/>
      <c r="D81" s="166">
        <v>2.99</v>
      </c>
      <c r="E81" s="50"/>
      <c r="F81" s="151" t="s">
        <v>694</v>
      </c>
      <c r="G81" s="165">
        <v>107002.62917499999</v>
      </c>
      <c r="H81" s="161"/>
      <c r="I81" s="83"/>
      <c r="J81" s="83"/>
      <c r="L81" s="83"/>
      <c r="N81" s="83"/>
      <c r="Q81" s="83"/>
      <c r="X81" s="84"/>
      <c r="Y81" s="86"/>
      <c r="Z81" s="86"/>
      <c r="AA81" s="86"/>
      <c r="AB81" s="83"/>
      <c r="AC81" s="83"/>
      <c r="AD81" s="83"/>
      <c r="AE81" s="83"/>
      <c r="AF81" s="83"/>
      <c r="AG81" s="84"/>
      <c r="AH81" s="86"/>
    </row>
    <row r="82" spans="2:34" x14ac:dyDescent="0.25">
      <c r="B82" s="75" t="s">
        <v>700</v>
      </c>
      <c r="C82" s="50"/>
      <c r="D82" s="166">
        <v>6.75</v>
      </c>
      <c r="E82" s="50"/>
      <c r="F82" s="151" t="s">
        <v>694</v>
      </c>
      <c r="G82" s="165">
        <v>241561.11937499998</v>
      </c>
      <c r="H82" s="161"/>
      <c r="I82" s="83"/>
      <c r="J82" s="83"/>
      <c r="L82" s="83"/>
      <c r="N82" s="83"/>
      <c r="Q82" s="83"/>
      <c r="X82" s="84"/>
      <c r="Y82" s="86"/>
      <c r="Z82" s="86"/>
      <c r="AA82" s="86"/>
      <c r="AB82" s="83"/>
      <c r="AC82" s="83"/>
      <c r="AD82" s="83"/>
      <c r="AE82" s="83"/>
      <c r="AF82" s="83"/>
      <c r="AG82" s="84"/>
      <c r="AH82" s="85"/>
    </row>
    <row r="83" spans="2:34" x14ac:dyDescent="0.25">
      <c r="B83" s="75" t="s">
        <v>701</v>
      </c>
      <c r="C83" s="50"/>
      <c r="D83" s="166">
        <v>6.44</v>
      </c>
      <c r="E83" s="50"/>
      <c r="F83" s="151" t="s">
        <v>694</v>
      </c>
      <c r="G83" s="165">
        <v>230467.20129999999</v>
      </c>
      <c r="H83" s="83"/>
      <c r="I83" s="83"/>
      <c r="J83" s="83"/>
      <c r="L83" s="83"/>
      <c r="N83" s="83"/>
      <c r="Q83" s="83"/>
      <c r="X83" s="84"/>
      <c r="Y83" s="86"/>
      <c r="Z83" s="86"/>
      <c r="AA83" s="86"/>
      <c r="AB83" s="83"/>
      <c r="AC83" s="83"/>
      <c r="AD83" s="83"/>
      <c r="AE83" s="83"/>
      <c r="AF83" s="84"/>
      <c r="AG83" s="84"/>
      <c r="AH83" s="85"/>
    </row>
    <row r="84" spans="2:34" x14ac:dyDescent="0.25">
      <c r="B84" s="77" t="s">
        <v>668</v>
      </c>
      <c r="C84" s="50"/>
      <c r="D84" s="166"/>
      <c r="E84" s="50"/>
      <c r="F84" s="151"/>
      <c r="G84" s="165"/>
      <c r="H84" s="83"/>
      <c r="I84" s="83"/>
      <c r="J84" s="83"/>
      <c r="L84" s="83"/>
      <c r="N84" s="83"/>
      <c r="Q84" s="83"/>
      <c r="X84" s="84"/>
      <c r="Y84" s="86"/>
      <c r="Z84" s="86"/>
      <c r="AA84" s="86"/>
      <c r="AB84" s="83"/>
      <c r="AC84" s="83"/>
      <c r="AD84" s="83"/>
      <c r="AE84" s="83"/>
      <c r="AF84" s="83"/>
      <c r="AG84" s="84"/>
      <c r="AH84" s="85"/>
    </row>
    <row r="85" spans="2:34" x14ac:dyDescent="0.25">
      <c r="B85" s="155" t="s">
        <v>698</v>
      </c>
      <c r="C85" s="50"/>
      <c r="D85" s="166">
        <v>64.39</v>
      </c>
      <c r="E85" s="50"/>
      <c r="F85" s="151" t="s">
        <v>694</v>
      </c>
      <c r="G85" s="165">
        <v>1724589.0820749998</v>
      </c>
      <c r="H85" s="83"/>
      <c r="I85" s="83"/>
      <c r="J85" s="83"/>
      <c r="L85" s="83"/>
      <c r="N85" s="83"/>
      <c r="Q85" s="83"/>
      <c r="X85" s="84"/>
      <c r="Y85" s="86"/>
      <c r="Z85" s="86"/>
      <c r="AA85" s="86"/>
      <c r="AB85" s="83"/>
      <c r="AC85" s="83"/>
      <c r="AD85" s="83"/>
      <c r="AE85" s="83"/>
      <c r="AF85" s="83"/>
      <c r="AG85" s="84"/>
      <c r="AH85" s="85"/>
    </row>
    <row r="86" spans="2:34" x14ac:dyDescent="0.25">
      <c r="B86" s="75" t="s">
        <v>699</v>
      </c>
      <c r="C86" s="50"/>
      <c r="D86" s="166">
        <v>29.42</v>
      </c>
      <c r="E86" s="50"/>
      <c r="F86" s="151" t="s">
        <v>694</v>
      </c>
      <c r="G86" s="165">
        <v>787970.34934999992</v>
      </c>
      <c r="H86" s="83"/>
      <c r="I86" s="83"/>
      <c r="J86" s="83"/>
      <c r="L86" s="83"/>
      <c r="N86" s="83"/>
      <c r="Q86" s="83"/>
      <c r="X86" s="84"/>
      <c r="Y86" s="86"/>
      <c r="Z86" s="86"/>
      <c r="AA86" s="86"/>
      <c r="AB86" s="83"/>
      <c r="AC86" s="83"/>
      <c r="AD86" s="83"/>
      <c r="AE86" s="83"/>
      <c r="AF86" s="83"/>
      <c r="AG86" s="84"/>
      <c r="AH86" s="85"/>
    </row>
    <row r="87" spans="2:34" x14ac:dyDescent="0.25">
      <c r="B87" s="75" t="s">
        <v>700</v>
      </c>
      <c r="C87" s="50"/>
      <c r="D87" s="166">
        <v>3.05</v>
      </c>
      <c r="E87" s="50"/>
      <c r="F87" s="151" t="s">
        <v>694</v>
      </c>
      <c r="G87" s="165">
        <v>81689.652124999979</v>
      </c>
      <c r="H87" s="83"/>
      <c r="I87" s="83"/>
      <c r="J87" s="83"/>
      <c r="L87" s="83"/>
      <c r="N87" s="83"/>
      <c r="Q87" s="83"/>
      <c r="X87" s="83"/>
      <c r="Y87" s="83"/>
      <c r="Z87" s="83"/>
      <c r="AA87" s="83"/>
      <c r="AB87" s="83"/>
      <c r="AC87" s="83"/>
      <c r="AD87" s="83"/>
      <c r="AE87" s="83"/>
      <c r="AF87" s="83"/>
      <c r="AG87" s="84"/>
      <c r="AH87" s="85"/>
    </row>
    <row r="88" spans="2:34" x14ac:dyDescent="0.25">
      <c r="B88" s="75" t="s">
        <v>701</v>
      </c>
      <c r="C88" s="50"/>
      <c r="D88" s="166">
        <v>151.13</v>
      </c>
      <c r="E88" s="50"/>
      <c r="F88" s="151" t="s">
        <v>694</v>
      </c>
      <c r="G88" s="165">
        <v>4047789.2215249995</v>
      </c>
      <c r="H88" s="83"/>
      <c r="I88" s="83"/>
      <c r="J88" s="83"/>
      <c r="L88" s="83"/>
      <c r="N88" s="83"/>
      <c r="Q88" s="83"/>
      <c r="X88" s="83"/>
      <c r="Y88" s="83"/>
      <c r="Z88" s="83"/>
      <c r="AA88" s="83"/>
      <c r="AB88" s="83"/>
      <c r="AC88" s="83"/>
      <c r="AD88" s="83"/>
      <c r="AE88" s="83"/>
      <c r="AF88" s="83"/>
      <c r="AG88" s="84"/>
      <c r="AH88" s="86"/>
    </row>
    <row r="89" spans="2:34" x14ac:dyDescent="0.25">
      <c r="B89" s="77" t="s">
        <v>671</v>
      </c>
      <c r="C89" s="50"/>
      <c r="D89" s="166"/>
      <c r="E89" s="50"/>
      <c r="F89" s="151"/>
      <c r="G89" s="165"/>
      <c r="H89" s="83"/>
      <c r="I89" s="83"/>
      <c r="J89" s="83"/>
      <c r="L89" s="83"/>
      <c r="N89" s="83"/>
      <c r="Q89" s="83"/>
      <c r="X89" s="83"/>
      <c r="Y89" s="83"/>
      <c r="Z89" s="83"/>
      <c r="AA89" s="83"/>
      <c r="AB89" s="83"/>
      <c r="AC89" s="83"/>
      <c r="AD89" s="83"/>
      <c r="AE89" s="83"/>
      <c r="AF89" s="83"/>
      <c r="AG89" s="84"/>
      <c r="AH89" s="86"/>
    </row>
    <row r="90" spans="2:34" x14ac:dyDescent="0.25">
      <c r="B90" s="155" t="s">
        <v>698</v>
      </c>
      <c r="C90" s="50"/>
      <c r="D90" s="166">
        <v>54.75</v>
      </c>
      <c r="E90" s="50"/>
      <c r="F90" s="151" t="s">
        <v>694</v>
      </c>
      <c r="G90" s="165">
        <v>843905.41312499996</v>
      </c>
      <c r="H90" s="83"/>
      <c r="I90" s="83"/>
      <c r="J90" s="83"/>
      <c r="L90" s="83"/>
      <c r="N90" s="83"/>
      <c r="Q90" s="83"/>
      <c r="X90" s="83"/>
      <c r="Y90" s="83"/>
      <c r="Z90" s="83"/>
      <c r="AA90" s="83"/>
      <c r="AB90" s="83"/>
      <c r="AC90" s="83"/>
      <c r="AD90" s="83"/>
      <c r="AE90" s="83"/>
      <c r="AF90" s="83"/>
      <c r="AG90" s="84"/>
      <c r="AH90" s="86"/>
    </row>
    <row r="91" spans="2:34" x14ac:dyDescent="0.25">
      <c r="B91" s="75" t="s">
        <v>699</v>
      </c>
      <c r="C91" s="50"/>
      <c r="D91" s="166">
        <v>29.42</v>
      </c>
      <c r="E91" s="50"/>
      <c r="F91" s="151" t="s">
        <v>694</v>
      </c>
      <c r="G91" s="165">
        <v>453473.92245000001</v>
      </c>
      <c r="H91" s="83"/>
      <c r="I91" s="83"/>
      <c r="J91" s="83"/>
      <c r="L91" s="83"/>
      <c r="N91" s="83"/>
      <c r="Q91" s="83"/>
      <c r="X91" s="83"/>
      <c r="Y91" s="83"/>
      <c r="Z91" s="83"/>
      <c r="AA91" s="83"/>
      <c r="AB91" s="83"/>
      <c r="AC91" s="83"/>
      <c r="AD91" s="83"/>
      <c r="AE91" s="83"/>
      <c r="AF91" s="83"/>
      <c r="AG91" s="84"/>
      <c r="AH91" s="85"/>
    </row>
    <row r="92" spans="2:34" x14ac:dyDescent="0.25">
      <c r="B92" s="75" t="s">
        <v>700</v>
      </c>
      <c r="C92" s="50"/>
      <c r="D92" s="166">
        <v>29.42</v>
      </c>
      <c r="E92" s="50"/>
      <c r="F92" s="151" t="s">
        <v>694</v>
      </c>
      <c r="G92" s="165">
        <v>453473.92245000001</v>
      </c>
      <c r="H92" s="83"/>
      <c r="I92" s="83"/>
      <c r="J92" s="83"/>
      <c r="L92" s="83"/>
      <c r="N92" s="83"/>
      <c r="Q92" s="83"/>
      <c r="X92" s="83"/>
      <c r="Y92" s="83"/>
      <c r="Z92" s="83"/>
      <c r="AA92" s="83"/>
      <c r="AB92" s="83"/>
      <c r="AC92" s="83"/>
      <c r="AD92" s="83"/>
      <c r="AE92" s="83"/>
      <c r="AF92" s="83"/>
      <c r="AG92" s="83"/>
      <c r="AH92" s="83"/>
    </row>
    <row r="93" spans="2:34" x14ac:dyDescent="0.25">
      <c r="B93" s="75" t="s">
        <v>701</v>
      </c>
      <c r="C93" s="50"/>
      <c r="D93" s="166">
        <v>0</v>
      </c>
      <c r="E93" s="50"/>
      <c r="F93" s="151" t="s">
        <v>694</v>
      </c>
      <c r="G93" s="165">
        <v>0</v>
      </c>
      <c r="H93" s="83"/>
      <c r="I93" s="83"/>
      <c r="J93" s="83"/>
      <c r="L93" s="83"/>
      <c r="N93" s="83"/>
      <c r="Q93" s="83"/>
      <c r="X93" s="83"/>
      <c r="Y93" s="83"/>
      <c r="Z93" s="83"/>
      <c r="AA93" s="83"/>
      <c r="AB93" s="83"/>
      <c r="AC93" s="83"/>
      <c r="AD93" s="83"/>
      <c r="AE93" s="83"/>
      <c r="AF93" s="83"/>
      <c r="AG93" s="83"/>
      <c r="AH93" s="83"/>
    </row>
    <row r="94" spans="2:34" x14ac:dyDescent="0.25">
      <c r="B94" s="77" t="s">
        <v>678</v>
      </c>
      <c r="C94" s="50"/>
      <c r="D94" s="166"/>
      <c r="E94" s="50"/>
      <c r="F94" s="151"/>
      <c r="G94" s="165"/>
      <c r="H94" s="83"/>
      <c r="I94" s="83"/>
      <c r="J94" s="83"/>
      <c r="L94" s="83"/>
      <c r="N94" s="83"/>
      <c r="Q94" s="83"/>
      <c r="X94" s="83"/>
      <c r="Y94" s="83"/>
      <c r="Z94" s="83"/>
      <c r="AA94" s="83"/>
      <c r="AB94" s="83"/>
      <c r="AC94" s="83"/>
      <c r="AD94" s="83"/>
      <c r="AE94" s="83"/>
      <c r="AF94" s="83"/>
      <c r="AG94" s="83"/>
      <c r="AH94" s="83"/>
    </row>
    <row r="95" spans="2:34" x14ac:dyDescent="0.25">
      <c r="B95" s="155" t="s">
        <v>698</v>
      </c>
      <c r="C95" s="50"/>
      <c r="D95" s="166">
        <v>54.8</v>
      </c>
      <c r="E95" s="50"/>
      <c r="F95" s="151" t="s">
        <v>694</v>
      </c>
      <c r="G95" s="165">
        <v>3594683.1309999991</v>
      </c>
      <c r="H95" s="83"/>
      <c r="I95" s="83"/>
      <c r="J95" s="83"/>
      <c r="L95" s="83"/>
      <c r="N95" s="83"/>
      <c r="Q95" s="83"/>
      <c r="X95" s="83"/>
      <c r="Y95" s="83"/>
      <c r="Z95" s="83"/>
      <c r="AA95" s="83"/>
      <c r="AB95" s="83"/>
      <c r="AC95" s="83"/>
      <c r="AD95" s="83"/>
      <c r="AE95" s="83"/>
      <c r="AF95" s="83"/>
      <c r="AG95" s="83"/>
      <c r="AH95" s="83"/>
    </row>
    <row r="96" spans="2:34" x14ac:dyDescent="0.25">
      <c r="B96" s="75" t="s">
        <v>699</v>
      </c>
      <c r="C96" s="50"/>
      <c r="D96" s="166">
        <v>32</v>
      </c>
      <c r="E96" s="50"/>
      <c r="F96" s="151" t="s">
        <v>694</v>
      </c>
      <c r="G96" s="165">
        <v>2099085.0399999996</v>
      </c>
      <c r="H96" s="83"/>
      <c r="I96" s="83"/>
      <c r="J96" s="83"/>
      <c r="L96" s="83"/>
      <c r="N96" s="83"/>
      <c r="Q96" s="83"/>
      <c r="X96" s="83"/>
      <c r="Y96" s="83"/>
      <c r="Z96" s="83"/>
      <c r="AA96" s="83"/>
      <c r="AB96" s="83"/>
      <c r="AC96" s="83"/>
      <c r="AD96" s="83"/>
      <c r="AE96" s="83"/>
      <c r="AF96" s="83"/>
      <c r="AG96" s="83"/>
      <c r="AH96" s="83"/>
    </row>
    <row r="97" spans="2:7" x14ac:dyDescent="0.25">
      <c r="B97" s="75" t="s">
        <v>700</v>
      </c>
      <c r="C97" s="50"/>
      <c r="D97" s="166">
        <v>18.72</v>
      </c>
      <c r="E97" s="50"/>
      <c r="F97" s="151" t="s">
        <v>694</v>
      </c>
      <c r="G97" s="165">
        <v>1227964.7483999997</v>
      </c>
    </row>
    <row r="98" spans="2:7" x14ac:dyDescent="0.25">
      <c r="B98" s="75" t="s">
        <v>701</v>
      </c>
      <c r="C98" s="50"/>
      <c r="D98" s="166">
        <v>0</v>
      </c>
      <c r="E98" s="50"/>
      <c r="F98" s="151" t="s">
        <v>694</v>
      </c>
      <c r="G98" s="165">
        <v>0</v>
      </c>
    </row>
    <row r="99" spans="2:7" x14ac:dyDescent="0.25">
      <c r="B99" s="77" t="s">
        <v>662</v>
      </c>
      <c r="C99" s="50"/>
      <c r="D99" s="166"/>
      <c r="E99" s="50"/>
      <c r="F99" s="151"/>
      <c r="G99" s="165"/>
    </row>
    <row r="100" spans="2:7" x14ac:dyDescent="0.25">
      <c r="B100" s="155" t="s">
        <v>698</v>
      </c>
      <c r="C100" s="50"/>
      <c r="D100" s="166">
        <v>14.85</v>
      </c>
      <c r="E100" s="50"/>
      <c r="F100" s="151" t="s">
        <v>694</v>
      </c>
      <c r="G100" s="165">
        <v>69758.060624999998</v>
      </c>
    </row>
    <row r="101" spans="2:7" x14ac:dyDescent="0.25">
      <c r="B101" s="75" t="s">
        <v>699</v>
      </c>
      <c r="C101" s="50"/>
      <c r="D101" s="166">
        <v>106.87</v>
      </c>
      <c r="E101" s="50"/>
      <c r="F101" s="151" t="s">
        <v>694</v>
      </c>
      <c r="G101" s="165">
        <v>502023.160875</v>
      </c>
    </row>
    <row r="102" spans="2:7" x14ac:dyDescent="0.25">
      <c r="B102" s="75" t="s">
        <v>700</v>
      </c>
      <c r="C102" s="50"/>
      <c r="D102" s="166">
        <v>19.399999999999999</v>
      </c>
      <c r="E102" s="50"/>
      <c r="F102" s="151" t="s">
        <v>694</v>
      </c>
      <c r="G102" s="165">
        <v>91131.742499999993</v>
      </c>
    </row>
    <row r="103" spans="2:7" x14ac:dyDescent="0.25">
      <c r="B103" s="75" t="s">
        <v>701</v>
      </c>
      <c r="C103" s="50"/>
      <c r="D103" s="166">
        <v>143</v>
      </c>
      <c r="E103" s="50"/>
      <c r="F103" s="151" t="s">
        <v>694</v>
      </c>
      <c r="G103" s="165">
        <v>671744.28749999998</v>
      </c>
    </row>
  </sheetData>
  <sortState ref="S3:S14">
    <sortCondition ref="S3:S14"/>
  </sortState>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M44"/>
  <sheetViews>
    <sheetView tabSelected="1" zoomScale="90" zoomScaleNormal="90" workbookViewId="0">
      <selection activeCell="C44" sqref="C44"/>
    </sheetView>
  </sheetViews>
  <sheetFormatPr defaultRowHeight="15" x14ac:dyDescent="0.25"/>
  <cols>
    <col min="1" max="1" width="8.5703125" style="83" bestFit="1" customWidth="1"/>
    <col min="2" max="2" width="70.28515625" customWidth="1"/>
    <col min="3" max="3" width="34.7109375" style="83" customWidth="1"/>
    <col min="4" max="4" width="24.42578125" style="373" customWidth="1"/>
    <col min="5" max="12" width="11.7109375" style="373" bestFit="1" customWidth="1"/>
  </cols>
  <sheetData>
    <row r="1" spans="1:13" ht="42" customHeight="1" x14ac:dyDescent="0.25">
      <c r="B1" s="83"/>
      <c r="C1" s="358" t="s">
        <v>702</v>
      </c>
      <c r="D1" s="368" t="s">
        <v>703</v>
      </c>
      <c r="E1" s="455" t="s">
        <v>704</v>
      </c>
      <c r="F1" s="455" t="s">
        <v>705</v>
      </c>
      <c r="G1" s="455" t="s">
        <v>706</v>
      </c>
      <c r="H1" s="456" t="s">
        <v>707</v>
      </c>
      <c r="I1" s="455" t="s">
        <v>708</v>
      </c>
      <c r="J1" s="455" t="s">
        <v>709</v>
      </c>
      <c r="K1" s="455" t="s">
        <v>710</v>
      </c>
      <c r="L1" s="456" t="s">
        <v>711</v>
      </c>
      <c r="M1" s="83"/>
    </row>
    <row r="2" spans="1:13" s="83" customFormat="1" ht="15.75" thickBot="1" x14ac:dyDescent="0.3">
      <c r="A2" s="403">
        <v>1</v>
      </c>
      <c r="B2" s="404" t="s">
        <v>775</v>
      </c>
      <c r="C2" s="405"/>
      <c r="D2" s="406">
        <f>H2+L2</f>
        <v>589413</v>
      </c>
      <c r="E2" s="417">
        <f>27057*3+SUM(E3:E8)</f>
        <v>85171</v>
      </c>
      <c r="F2" s="417">
        <f t="shared" ref="F2:G2" si="0">27057*3+SUM(F3:F8)</f>
        <v>85171</v>
      </c>
      <c r="G2" s="417">
        <f t="shared" si="0"/>
        <v>85171</v>
      </c>
      <c r="H2" s="416">
        <f>SUM(E2:G2)+SUM(H3:H8)</f>
        <v>267513</v>
      </c>
      <c r="I2" s="417">
        <f>33100*3+SUM(I3:I8)</f>
        <v>103300</v>
      </c>
      <c r="J2" s="417">
        <f>33100*3+SUM(J3:J8)</f>
        <v>103300</v>
      </c>
      <c r="K2" s="417">
        <f>33100*3+SUM(K3:K8)</f>
        <v>103300</v>
      </c>
      <c r="L2" s="457">
        <f>SUM(I2:K2)+SUM(L3:L8)</f>
        <v>321900</v>
      </c>
    </row>
    <row r="3" spans="1:13" s="83" customFormat="1" x14ac:dyDescent="0.25">
      <c r="A3" s="399" t="s">
        <v>712</v>
      </c>
      <c r="B3" s="400" t="s">
        <v>776</v>
      </c>
      <c r="C3" s="401"/>
      <c r="D3" s="402"/>
      <c r="E3" s="382"/>
      <c r="F3" s="382"/>
      <c r="G3" s="382"/>
      <c r="H3" s="402"/>
      <c r="I3" s="453"/>
      <c r="J3" s="453"/>
      <c r="K3" s="453"/>
      <c r="L3" s="402"/>
    </row>
    <row r="4" spans="1:13" s="83" customFormat="1" x14ac:dyDescent="0.25">
      <c r="A4" s="357" t="s">
        <v>713</v>
      </c>
      <c r="B4" s="339" t="s">
        <v>714</v>
      </c>
      <c r="C4" s="360"/>
      <c r="D4" s="369"/>
      <c r="E4" s="378"/>
      <c r="F4" s="378"/>
      <c r="G4" s="378"/>
      <c r="H4" s="369"/>
      <c r="I4" s="454"/>
      <c r="J4" s="454"/>
      <c r="K4" s="454"/>
      <c r="L4" s="369"/>
    </row>
    <row r="5" spans="1:13" s="83" customFormat="1" x14ac:dyDescent="0.25">
      <c r="A5" s="357" t="s">
        <v>715</v>
      </c>
      <c r="B5" s="339" t="s">
        <v>716</v>
      </c>
      <c r="C5" s="360"/>
      <c r="D5" s="369"/>
      <c r="E5" s="378"/>
      <c r="F5" s="378"/>
      <c r="G5" s="378"/>
      <c r="H5" s="369"/>
      <c r="I5" s="454"/>
      <c r="J5" s="454"/>
      <c r="K5" s="454"/>
      <c r="L5" s="369"/>
    </row>
    <row r="6" spans="1:13" s="83" customFormat="1" x14ac:dyDescent="0.25">
      <c r="A6" s="357" t="s">
        <v>119</v>
      </c>
      <c r="B6" s="339" t="s">
        <v>717</v>
      </c>
      <c r="C6" s="360"/>
      <c r="D6" s="369"/>
      <c r="E6" s="378"/>
      <c r="F6" s="378"/>
      <c r="G6" s="378"/>
      <c r="H6" s="410"/>
      <c r="I6" s="454"/>
      <c r="J6" s="454"/>
      <c r="K6" s="454"/>
      <c r="L6" s="410"/>
    </row>
    <row r="7" spans="1:13" s="83" customFormat="1" x14ac:dyDescent="0.25">
      <c r="A7" s="357" t="s">
        <v>183</v>
      </c>
      <c r="B7" s="339" t="s">
        <v>718</v>
      </c>
      <c r="C7" s="360"/>
      <c r="D7" s="369">
        <v>15000</v>
      </c>
      <c r="E7" s="378">
        <f>$D$7/6</f>
        <v>2500</v>
      </c>
      <c r="F7" s="378">
        <f>$D$7/6</f>
        <v>2500</v>
      </c>
      <c r="G7" s="378">
        <f>$D$7/6</f>
        <v>2500</v>
      </c>
      <c r="H7" s="369">
        <f>SUM(E7:G7)</f>
        <v>7500</v>
      </c>
      <c r="I7" s="378">
        <f>$D$7/6</f>
        <v>2500</v>
      </c>
      <c r="J7" s="378">
        <f>$D$7/6</f>
        <v>2500</v>
      </c>
      <c r="K7" s="378">
        <f>$D$7/6</f>
        <v>2500</v>
      </c>
      <c r="L7" s="369">
        <f>SUM(I7:K7)</f>
        <v>7500</v>
      </c>
    </row>
    <row r="8" spans="1:13" s="83" customFormat="1" ht="15.75" thickBot="1" x14ac:dyDescent="0.3">
      <c r="A8" s="407" t="s">
        <v>177</v>
      </c>
      <c r="B8" s="408" t="s">
        <v>777</v>
      </c>
      <c r="C8" s="409"/>
      <c r="D8" s="410">
        <f>500*18</f>
        <v>9000</v>
      </c>
      <c r="E8" s="411">
        <f>$D$8/6</f>
        <v>1500</v>
      </c>
      <c r="F8" s="411">
        <f>$D$8/6</f>
        <v>1500</v>
      </c>
      <c r="G8" s="411">
        <f>$D$8/6</f>
        <v>1500</v>
      </c>
      <c r="H8" s="369">
        <f>SUM(E8:G8)</f>
        <v>4500</v>
      </c>
      <c r="I8" s="411">
        <f>$D$8/6</f>
        <v>1500</v>
      </c>
      <c r="J8" s="411">
        <f>$D$8/6</f>
        <v>1500</v>
      </c>
      <c r="K8" s="411">
        <f>$D$8/6</f>
        <v>1500</v>
      </c>
      <c r="L8" s="369">
        <f>SUM(I8:K8)</f>
        <v>4500</v>
      </c>
    </row>
    <row r="9" spans="1:13" s="83" customFormat="1" ht="15.75" thickBot="1" x14ac:dyDescent="0.3">
      <c r="A9" s="414" t="s">
        <v>719</v>
      </c>
      <c r="B9" s="415" t="s">
        <v>720</v>
      </c>
      <c r="C9" s="415"/>
      <c r="D9" s="437">
        <f t="shared" ref="D9:L9" si="1">SUM(D10:D14)</f>
        <v>640500</v>
      </c>
      <c r="E9" s="417">
        <f t="shared" si="1"/>
        <v>66166.666666666672</v>
      </c>
      <c r="F9" s="417">
        <f t="shared" si="1"/>
        <v>136700</v>
      </c>
      <c r="G9" s="417">
        <f t="shared" si="1"/>
        <v>215966.66666666669</v>
      </c>
      <c r="H9" s="439">
        <f t="shared" si="1"/>
        <v>418833.33333333337</v>
      </c>
      <c r="I9" s="417">
        <f t="shared" si="1"/>
        <v>84350</v>
      </c>
      <c r="J9" s="417">
        <f t="shared" si="1"/>
        <v>137316.66666666669</v>
      </c>
      <c r="K9" s="417">
        <f t="shared" si="1"/>
        <v>0</v>
      </c>
      <c r="L9" s="438">
        <f t="shared" si="1"/>
        <v>221666.66666666669</v>
      </c>
    </row>
    <row r="10" spans="1:13" s="83" customFormat="1" x14ac:dyDescent="0.25">
      <c r="A10" s="412" t="s">
        <v>143</v>
      </c>
      <c r="B10" s="413" t="s">
        <v>721</v>
      </c>
      <c r="C10" s="413"/>
      <c r="D10" s="395">
        <v>131100</v>
      </c>
      <c r="E10" s="379"/>
      <c r="F10" s="379">
        <f>D10/2</f>
        <v>65550</v>
      </c>
      <c r="G10" s="379"/>
      <c r="H10" s="380">
        <f>SUM(E10:G10)</f>
        <v>65550</v>
      </c>
      <c r="I10" s="379">
        <f>D10/2</f>
        <v>65550</v>
      </c>
      <c r="J10" s="379"/>
      <c r="K10" s="379"/>
      <c r="L10" s="380">
        <f>SUM(I10:K10)</f>
        <v>65550</v>
      </c>
      <c r="M10" s="326"/>
    </row>
    <row r="11" spans="1:13" s="83" customFormat="1" x14ac:dyDescent="0.25">
      <c r="A11" s="333" t="s">
        <v>161</v>
      </c>
      <c r="B11" s="334" t="s">
        <v>722</v>
      </c>
      <c r="C11" s="334"/>
      <c r="D11" s="395">
        <v>18800</v>
      </c>
      <c r="E11" s="379"/>
      <c r="F11" s="379"/>
      <c r="G11" s="379"/>
      <c r="H11" s="380">
        <f t="shared" ref="H11:H14" si="2">SUM(E11:G11)</f>
        <v>0</v>
      </c>
      <c r="I11" s="379">
        <f>D11</f>
        <v>18800</v>
      </c>
      <c r="J11" s="379"/>
      <c r="K11" s="379"/>
      <c r="L11" s="380">
        <f t="shared" ref="L11:L14" si="3">SUM(I11:K11)</f>
        <v>18800</v>
      </c>
      <c r="M11" s="326"/>
    </row>
    <row r="12" spans="1:13" s="83" customFormat="1" x14ac:dyDescent="0.25">
      <c r="A12" s="333" t="s">
        <v>129</v>
      </c>
      <c r="B12" s="334" t="s">
        <v>723</v>
      </c>
      <c r="C12" s="334"/>
      <c r="D12" s="395">
        <v>149800</v>
      </c>
      <c r="E12" s="379"/>
      <c r="F12" s="379"/>
      <c r="G12" s="379">
        <f>D12</f>
        <v>149800</v>
      </c>
      <c r="H12" s="380">
        <f t="shared" si="2"/>
        <v>149800</v>
      </c>
      <c r="I12" s="379"/>
      <c r="J12" s="379"/>
      <c r="K12" s="379"/>
      <c r="L12" s="380">
        <f t="shared" si="3"/>
        <v>0</v>
      </c>
      <c r="M12" s="326"/>
    </row>
    <row r="13" spans="1:13" s="83" customFormat="1" x14ac:dyDescent="0.25">
      <c r="A13" s="333" t="s">
        <v>163</v>
      </c>
      <c r="B13" s="334" t="s">
        <v>724</v>
      </c>
      <c r="C13" s="334"/>
      <c r="D13" s="395">
        <v>142300</v>
      </c>
      <c r="E13" s="379"/>
      <c r="F13" s="379">
        <f>D13/2</f>
        <v>71150</v>
      </c>
      <c r="G13" s="379"/>
      <c r="H13" s="380">
        <f t="shared" si="2"/>
        <v>71150</v>
      </c>
      <c r="I13" s="379"/>
      <c r="J13" s="379">
        <f>D13/2</f>
        <v>71150</v>
      </c>
      <c r="K13" s="379"/>
      <c r="L13" s="380">
        <f t="shared" si="3"/>
        <v>71150</v>
      </c>
      <c r="M13" s="326"/>
    </row>
    <row r="14" spans="1:13" s="83" customFormat="1" ht="15.75" thickBot="1" x14ac:dyDescent="0.3">
      <c r="A14" s="418" t="s">
        <v>167</v>
      </c>
      <c r="B14" s="419" t="s">
        <v>725</v>
      </c>
      <c r="C14" s="419"/>
      <c r="D14" s="395">
        <v>198500</v>
      </c>
      <c r="E14" s="379">
        <f>D14/3</f>
        <v>66166.666666666672</v>
      </c>
      <c r="F14" s="379"/>
      <c r="G14" s="379">
        <f>D14/3</f>
        <v>66166.666666666672</v>
      </c>
      <c r="H14" s="380">
        <f t="shared" si="2"/>
        <v>132333.33333333334</v>
      </c>
      <c r="I14" s="379"/>
      <c r="J14" s="379">
        <f>D14/3</f>
        <v>66166.666666666672</v>
      </c>
      <c r="K14" s="379"/>
      <c r="L14" s="380">
        <f t="shared" si="3"/>
        <v>66166.666666666672</v>
      </c>
      <c r="M14" s="326"/>
    </row>
    <row r="15" spans="1:13" s="83" customFormat="1" ht="15.75" thickBot="1" x14ac:dyDescent="0.3">
      <c r="A15" s="420" t="s">
        <v>726</v>
      </c>
      <c r="B15" s="421" t="s">
        <v>727</v>
      </c>
      <c r="C15" s="422"/>
      <c r="D15" s="423">
        <f>SUM(D16:D19)</f>
        <v>97500</v>
      </c>
      <c r="E15" s="417">
        <f>SUM(E16:E19)</f>
        <v>0</v>
      </c>
      <c r="F15" s="417">
        <f>SUM(F16:F19)</f>
        <v>19500</v>
      </c>
      <c r="G15" s="417">
        <f>SUM(G16:G19)</f>
        <v>19500</v>
      </c>
      <c r="H15" s="424">
        <f>SUM(E15:G15)</f>
        <v>39000</v>
      </c>
      <c r="I15" s="417">
        <f>SUM(I16:I19)</f>
        <v>19500</v>
      </c>
      <c r="J15" s="417">
        <f>SUM(J16:J19)</f>
        <v>0</v>
      </c>
      <c r="K15" s="417">
        <f>SUM(K16:K19)</f>
        <v>39000</v>
      </c>
      <c r="L15" s="424">
        <f>SUM(I15:K15)</f>
        <v>58500</v>
      </c>
    </row>
    <row r="16" spans="1:13" ht="40.5" customHeight="1" x14ac:dyDescent="0.25">
      <c r="A16" s="330" t="s">
        <v>175</v>
      </c>
      <c r="B16" s="331" t="s">
        <v>728</v>
      </c>
      <c r="C16" s="331" t="s">
        <v>729</v>
      </c>
      <c r="D16" s="370">
        <f>450*Baasandmed!$D$10</f>
        <v>29250</v>
      </c>
      <c r="E16" s="379"/>
      <c r="F16" s="379">
        <f>$D16/3</f>
        <v>9750</v>
      </c>
      <c r="G16" s="379">
        <f>$D16/3</f>
        <v>9750</v>
      </c>
      <c r="H16" s="381">
        <f t="shared" ref="H16:H19" si="4">SUM(E16:G16)</f>
        <v>19500</v>
      </c>
      <c r="I16" s="379">
        <f>$D16/3</f>
        <v>9750</v>
      </c>
      <c r="J16" s="379"/>
      <c r="K16" s="379"/>
      <c r="L16" s="381">
        <f t="shared" ref="L16:L19" si="5">SUM(I16:K16)</f>
        <v>9750</v>
      </c>
      <c r="M16" s="83"/>
    </row>
    <row r="17" spans="1:12" ht="51.75" x14ac:dyDescent="0.25">
      <c r="A17" s="330" t="s">
        <v>191</v>
      </c>
      <c r="B17" s="332" t="s">
        <v>730</v>
      </c>
      <c r="C17" s="364" t="s">
        <v>774</v>
      </c>
      <c r="D17" s="370">
        <f>300*Baasandmed!$D$10</f>
        <v>19500</v>
      </c>
      <c r="E17" s="379"/>
      <c r="F17" s="379"/>
      <c r="G17" s="379"/>
      <c r="H17" s="381">
        <f t="shared" si="4"/>
        <v>0</v>
      </c>
      <c r="I17" s="379"/>
      <c r="J17" s="379"/>
      <c r="K17" s="379">
        <f>$D17</f>
        <v>19500</v>
      </c>
      <c r="L17" s="381">
        <f t="shared" si="5"/>
        <v>19500</v>
      </c>
    </row>
    <row r="18" spans="1:12" ht="51.75" x14ac:dyDescent="0.25">
      <c r="A18" s="330" t="s">
        <v>385</v>
      </c>
      <c r="B18" s="332" t="s">
        <v>731</v>
      </c>
      <c r="C18" s="364" t="s">
        <v>773</v>
      </c>
      <c r="D18" s="370">
        <f>300*Baasandmed!$D$10</f>
        <v>19500</v>
      </c>
      <c r="E18" s="379"/>
      <c r="F18" s="379"/>
      <c r="G18" s="379"/>
      <c r="H18" s="381">
        <f t="shared" si="4"/>
        <v>0</v>
      </c>
      <c r="I18" s="379"/>
      <c r="J18" s="379"/>
      <c r="K18" s="379">
        <f>$D18</f>
        <v>19500</v>
      </c>
      <c r="L18" s="381">
        <f t="shared" si="5"/>
        <v>19500</v>
      </c>
    </row>
    <row r="19" spans="1:12" ht="51.75" x14ac:dyDescent="0.25">
      <c r="A19" s="330" t="s">
        <v>732</v>
      </c>
      <c r="B19" s="425" t="s">
        <v>733</v>
      </c>
      <c r="C19" s="426" t="s">
        <v>734</v>
      </c>
      <c r="D19" s="441">
        <f>450*Baasandmed!$D$10</f>
        <v>29250</v>
      </c>
      <c r="E19" s="379"/>
      <c r="F19" s="379">
        <f t="shared" ref="F19" si="6">$D19/3</f>
        <v>9750</v>
      </c>
      <c r="G19" s="379">
        <f t="shared" ref="G19:I19" si="7">$D19/3</f>
        <v>9750</v>
      </c>
      <c r="H19" s="427">
        <f t="shared" si="4"/>
        <v>19500</v>
      </c>
      <c r="I19" s="379">
        <f t="shared" si="7"/>
        <v>9750</v>
      </c>
      <c r="J19" s="379"/>
      <c r="K19" s="379"/>
      <c r="L19" s="427">
        <f t="shared" si="5"/>
        <v>9750</v>
      </c>
    </row>
    <row r="20" spans="1:12" s="83" customFormat="1" ht="50.25" customHeight="1" x14ac:dyDescent="0.25">
      <c r="A20" s="431" t="s">
        <v>735</v>
      </c>
      <c r="B20" s="432" t="s">
        <v>778</v>
      </c>
      <c r="C20" s="435" t="s">
        <v>736</v>
      </c>
      <c r="D20" s="440">
        <f>D21+D22</f>
        <v>894000</v>
      </c>
      <c r="E20" s="433"/>
      <c r="F20" s="433"/>
      <c r="G20" s="458">
        <f>$D$20/4</f>
        <v>223500</v>
      </c>
      <c r="H20" s="434">
        <f>SUM(E20:G20)</f>
        <v>223500</v>
      </c>
      <c r="I20" s="458">
        <f>$D$20/4</f>
        <v>223500</v>
      </c>
      <c r="J20" s="458">
        <f>$D$20/4</f>
        <v>223500</v>
      </c>
      <c r="K20" s="458">
        <f>$D$20/4</f>
        <v>223500</v>
      </c>
      <c r="L20" s="434">
        <f>SUM(I20:K20)</f>
        <v>670500</v>
      </c>
    </row>
    <row r="21" spans="1:12" s="83" customFormat="1" ht="39" x14ac:dyDescent="0.25">
      <c r="A21" s="428" t="s">
        <v>133</v>
      </c>
      <c r="B21" s="429" t="s">
        <v>737</v>
      </c>
      <c r="C21" s="436" t="s">
        <v>738</v>
      </c>
      <c r="D21" s="442">
        <f>Majandusanalüüs!AE25</f>
        <v>864000</v>
      </c>
      <c r="E21" s="396"/>
      <c r="F21" s="396">
        <f>$D$21/5</f>
        <v>172800</v>
      </c>
      <c r="G21" s="396">
        <f>$D$21/5</f>
        <v>172800</v>
      </c>
      <c r="H21" s="445">
        <f>SUM(F21:G21)</f>
        <v>345600</v>
      </c>
      <c r="I21" s="396">
        <f>$D$21/5</f>
        <v>172800</v>
      </c>
      <c r="J21" s="396">
        <f>$D$21/5</f>
        <v>172800</v>
      </c>
      <c r="K21" s="396">
        <f>$D$21/5</f>
        <v>172800</v>
      </c>
      <c r="L21" s="430">
        <f>SUM(I21:K21)</f>
        <v>518400</v>
      </c>
    </row>
    <row r="22" spans="1:12" s="83" customFormat="1" ht="30.75" thickBot="1" x14ac:dyDescent="0.3">
      <c r="A22" s="448" t="s">
        <v>135</v>
      </c>
      <c r="B22" s="449" t="s">
        <v>739</v>
      </c>
      <c r="C22" s="450"/>
      <c r="D22" s="451">
        <f>3*200*50</f>
        <v>30000</v>
      </c>
      <c r="E22" s="446"/>
      <c r="F22" s="384"/>
      <c r="G22" s="384"/>
      <c r="H22" s="398">
        <f>$D$22/2</f>
        <v>15000</v>
      </c>
      <c r="I22" s="384"/>
      <c r="J22" s="384"/>
      <c r="K22" s="447"/>
      <c r="L22" s="398">
        <f>$D$22/2</f>
        <v>15000</v>
      </c>
    </row>
    <row r="23" spans="1:12" s="83" customFormat="1" ht="15.75" thickTop="1" x14ac:dyDescent="0.25">
      <c r="A23" s="323"/>
      <c r="B23" s="324" t="s">
        <v>78</v>
      </c>
      <c r="C23" s="324"/>
      <c r="D23" s="371">
        <f>D2+D9+D15+D20</f>
        <v>2221413</v>
      </c>
      <c r="E23" s="385"/>
      <c r="F23" s="385"/>
      <c r="G23" s="385"/>
      <c r="H23" s="383">
        <f>H2+H9+H15+H20</f>
        <v>948846.33333333337</v>
      </c>
      <c r="I23" s="385"/>
      <c r="J23" s="385"/>
      <c r="K23" s="385"/>
      <c r="L23" s="383">
        <f>L2+L9+L15+L20</f>
        <v>1272566.6666666667</v>
      </c>
    </row>
    <row r="24" spans="1:12" s="83" customFormat="1" x14ac:dyDescent="0.25">
      <c r="A24" s="322"/>
      <c r="B24" s="459"/>
      <c r="C24" s="459" t="s">
        <v>740</v>
      </c>
      <c r="D24" s="377">
        <v>1500000</v>
      </c>
      <c r="E24" s="373"/>
      <c r="F24" s="373"/>
      <c r="G24" s="373"/>
      <c r="H24" s="386"/>
      <c r="I24" s="386"/>
      <c r="J24" s="386"/>
      <c r="K24" s="386"/>
      <c r="L24" s="386"/>
    </row>
    <row r="25" spans="1:12" s="83" customFormat="1" ht="18.75" x14ac:dyDescent="0.3">
      <c r="A25" s="322"/>
      <c r="C25" s="461" t="s">
        <v>741</v>
      </c>
      <c r="D25" s="460">
        <f>D24-D23</f>
        <v>-721413</v>
      </c>
      <c r="E25" s="373"/>
      <c r="F25" s="373"/>
      <c r="G25" s="373"/>
      <c r="H25" s="386"/>
      <c r="I25" s="386"/>
      <c r="J25" s="386"/>
      <c r="K25" s="386"/>
      <c r="L25" s="397"/>
    </row>
    <row r="26" spans="1:12" s="83" customFormat="1" x14ac:dyDescent="0.25">
      <c r="A26" s="322"/>
      <c r="C26" s="372"/>
      <c r="D26" s="394"/>
      <c r="E26" s="373"/>
      <c r="F26" s="373"/>
      <c r="G26" s="373"/>
      <c r="H26" s="386"/>
      <c r="I26" s="386"/>
      <c r="J26" s="386"/>
      <c r="K26" s="386"/>
      <c r="L26" s="397"/>
    </row>
    <row r="27" spans="1:12" s="83" customFormat="1" ht="18.75" x14ac:dyDescent="0.3">
      <c r="A27" s="322"/>
      <c r="C27" s="471" t="s">
        <v>742</v>
      </c>
      <c r="D27" s="462"/>
      <c r="E27" s="373"/>
      <c r="F27" s="373"/>
      <c r="G27" s="373"/>
      <c r="H27" s="386"/>
      <c r="I27" s="386"/>
      <c r="J27" s="386"/>
      <c r="K27" s="386"/>
      <c r="L27" s="397"/>
    </row>
    <row r="28" spans="1:12" s="83" customFormat="1" x14ac:dyDescent="0.25">
      <c r="A28" s="322"/>
      <c r="C28" s="324" t="s">
        <v>743</v>
      </c>
      <c r="D28" s="374">
        <v>300000</v>
      </c>
      <c r="E28" s="373" t="s">
        <v>744</v>
      </c>
      <c r="F28" s="373"/>
      <c r="G28" s="373"/>
      <c r="H28" s="386"/>
      <c r="I28" s="386"/>
      <c r="J28" s="386"/>
      <c r="K28" s="386"/>
      <c r="L28" s="397"/>
    </row>
    <row r="29" spans="1:12" s="83" customFormat="1" x14ac:dyDescent="0.25">
      <c r="A29" s="322"/>
      <c r="B29" s="325"/>
      <c r="C29" s="444" t="s">
        <v>745</v>
      </c>
      <c r="D29" s="463">
        <v>0</v>
      </c>
      <c r="E29" s="373" t="s">
        <v>772</v>
      </c>
      <c r="F29" s="373"/>
      <c r="G29" s="373"/>
    </row>
    <row r="30" spans="1:12" s="83" customFormat="1" x14ac:dyDescent="0.25">
      <c r="A30" s="322"/>
      <c r="B30" s="325"/>
      <c r="C30" s="361" t="s">
        <v>746</v>
      </c>
      <c r="D30" s="377">
        <f>D20/2</f>
        <v>447000</v>
      </c>
      <c r="E30" s="373" t="s">
        <v>779</v>
      </c>
      <c r="F30" s="373"/>
      <c r="G30" s="373"/>
    </row>
    <row r="31" spans="1:12" s="83" customFormat="1" ht="15.75" thickBot="1" x14ac:dyDescent="0.3">
      <c r="A31" s="322"/>
      <c r="B31" s="325"/>
      <c r="C31" s="443" t="s">
        <v>747</v>
      </c>
      <c r="D31" s="464">
        <v>500000</v>
      </c>
      <c r="E31" s="373" t="s">
        <v>748</v>
      </c>
      <c r="F31" s="373"/>
      <c r="G31" s="373"/>
    </row>
    <row r="32" spans="1:12" s="83" customFormat="1" ht="19.5" thickTop="1" x14ac:dyDescent="0.3">
      <c r="A32" s="322"/>
      <c r="B32" s="325"/>
      <c r="C32" s="472" t="s">
        <v>742</v>
      </c>
      <c r="D32" s="469">
        <f>SUM(D28:D31)</f>
        <v>1247000</v>
      </c>
      <c r="E32" s="373"/>
      <c r="F32" s="373"/>
      <c r="G32" s="373"/>
    </row>
    <row r="33" spans="1:12" s="83" customFormat="1" ht="15.75" thickBot="1" x14ac:dyDescent="0.3">
      <c r="A33" s="322"/>
      <c r="B33" s="325"/>
      <c r="C33" s="452"/>
      <c r="D33" s="375"/>
      <c r="E33" s="466"/>
      <c r="F33" s="373"/>
      <c r="G33" s="373"/>
    </row>
    <row r="34" spans="1:12" s="83" customFormat="1" ht="30" x14ac:dyDescent="0.25">
      <c r="A34" s="322"/>
      <c r="B34" s="467"/>
      <c r="C34" s="468" t="s">
        <v>749</v>
      </c>
      <c r="D34" s="470">
        <f>SUM(D32+D25)</f>
        <v>525587</v>
      </c>
      <c r="E34" s="373"/>
      <c r="F34" s="373"/>
      <c r="G34" s="373"/>
      <c r="H34" s="386"/>
      <c r="I34" s="386"/>
      <c r="J34" s="386"/>
      <c r="K34" s="386"/>
      <c r="L34" s="386"/>
    </row>
    <row r="35" spans="1:12" s="83" customFormat="1" x14ac:dyDescent="0.25">
      <c r="A35" s="322"/>
      <c r="B35" s="217"/>
      <c r="C35" s="465"/>
      <c r="D35" s="377"/>
      <c r="E35" s="373"/>
      <c r="F35" s="373"/>
      <c r="G35" s="373"/>
      <c r="H35" s="386"/>
      <c r="I35" s="386"/>
      <c r="J35" s="386"/>
      <c r="K35" s="386"/>
      <c r="L35" s="386"/>
    </row>
    <row r="36" spans="1:12" s="83" customFormat="1" ht="53.25" customHeight="1" x14ac:dyDescent="0.25">
      <c r="A36" s="322"/>
      <c r="B36" s="217"/>
      <c r="C36" s="362"/>
      <c r="D36" s="368" t="s">
        <v>750</v>
      </c>
      <c r="E36" s="387" t="s">
        <v>704</v>
      </c>
      <c r="F36" s="388" t="s">
        <v>705</v>
      </c>
      <c r="G36" s="388" t="s">
        <v>706</v>
      </c>
      <c r="H36" s="389" t="s">
        <v>707</v>
      </c>
      <c r="I36" s="388" t="s">
        <v>708</v>
      </c>
      <c r="J36" s="388" t="s">
        <v>709</v>
      </c>
      <c r="K36" s="388" t="s">
        <v>710</v>
      </c>
      <c r="L36" s="390" t="s">
        <v>711</v>
      </c>
    </row>
    <row r="37" spans="1:12" s="83" customFormat="1" ht="15.75" thickBot="1" x14ac:dyDescent="0.3">
      <c r="A37" s="328" t="s">
        <v>751</v>
      </c>
      <c r="B37" s="329" t="s">
        <v>752</v>
      </c>
      <c r="C37" s="363"/>
      <c r="D37" s="376">
        <f t="shared" ref="D37" si="8">SUM(D38:D44)</f>
        <v>793000</v>
      </c>
      <c r="E37" s="391">
        <f>SUM(E38:E44)</f>
        <v>132166.66666666666</v>
      </c>
      <c r="F37" s="391">
        <f t="shared" ref="F37:L37" si="9">SUM(F38:F44)</f>
        <v>132166.66666666666</v>
      </c>
      <c r="G37" s="391">
        <f t="shared" si="9"/>
        <v>132166.66666666666</v>
      </c>
      <c r="H37" s="392">
        <f>SUM(H38:H44)</f>
        <v>396500</v>
      </c>
      <c r="I37" s="391">
        <f t="shared" si="9"/>
        <v>132166.66666666666</v>
      </c>
      <c r="J37" s="391">
        <f t="shared" si="9"/>
        <v>132166.66666666666</v>
      </c>
      <c r="K37" s="391">
        <f t="shared" si="9"/>
        <v>132166.66666666666</v>
      </c>
      <c r="L37" s="392">
        <f t="shared" si="9"/>
        <v>396500</v>
      </c>
    </row>
    <row r="38" spans="1:12" ht="84.75" customHeight="1" thickTop="1" x14ac:dyDescent="0.25">
      <c r="A38" s="322" t="s">
        <v>141</v>
      </c>
      <c r="B38" s="327" t="s">
        <v>20</v>
      </c>
      <c r="C38" s="365" t="s">
        <v>780</v>
      </c>
      <c r="D38" s="377">
        <v>0</v>
      </c>
      <c r="E38" s="375">
        <f>$D$38/6</f>
        <v>0</v>
      </c>
      <c r="F38" s="375">
        <f t="shared" ref="F38:K38" si="10">$D$38/6</f>
        <v>0</v>
      </c>
      <c r="G38" s="375">
        <f t="shared" si="10"/>
        <v>0</v>
      </c>
      <c r="H38" s="393">
        <f t="shared" ref="H38:H43" si="11">SUM(E38:G38)</f>
        <v>0</v>
      </c>
      <c r="I38" s="375">
        <f t="shared" si="10"/>
        <v>0</v>
      </c>
      <c r="J38" s="375">
        <f t="shared" si="10"/>
        <v>0</v>
      </c>
      <c r="K38" s="375">
        <f t="shared" si="10"/>
        <v>0</v>
      </c>
      <c r="L38" s="393">
        <f>SUM(I38:K38)</f>
        <v>0</v>
      </c>
    </row>
    <row r="39" spans="1:12" ht="77.25" x14ac:dyDescent="0.25">
      <c r="A39" s="322" t="s">
        <v>128</v>
      </c>
      <c r="B39" s="220" t="s">
        <v>407</v>
      </c>
      <c r="C39" s="365" t="s">
        <v>781</v>
      </c>
      <c r="D39" s="377">
        <f>Majandusanalüüs!AE46</f>
        <v>650000</v>
      </c>
      <c r="E39" s="375">
        <f>$D39/6</f>
        <v>108333.33333333333</v>
      </c>
      <c r="F39" s="375">
        <f t="shared" ref="F39:G39" si="12">$D39/6</f>
        <v>108333.33333333333</v>
      </c>
      <c r="G39" s="375">
        <f t="shared" si="12"/>
        <v>108333.33333333333</v>
      </c>
      <c r="H39" s="393">
        <f t="shared" si="11"/>
        <v>325000</v>
      </c>
      <c r="I39" s="375">
        <f t="shared" ref="E39:K44" si="13">$D39/6</f>
        <v>108333.33333333333</v>
      </c>
      <c r="J39" s="375">
        <f t="shared" si="13"/>
        <v>108333.33333333333</v>
      </c>
      <c r="K39" s="375">
        <f t="shared" si="13"/>
        <v>108333.33333333333</v>
      </c>
      <c r="L39" s="393">
        <f t="shared" ref="L39:L44" si="14">SUM(I39:K39)</f>
        <v>325000</v>
      </c>
    </row>
    <row r="40" spans="1:12" ht="30" x14ac:dyDescent="0.25">
      <c r="A40" s="322" t="s">
        <v>185</v>
      </c>
      <c r="B40" s="219" t="s">
        <v>753</v>
      </c>
      <c r="C40" s="366" t="s">
        <v>754</v>
      </c>
      <c r="D40" s="377">
        <f>2*150*Baasandmed!$D$10</f>
        <v>19500</v>
      </c>
      <c r="E40" s="375">
        <f>$D40/6</f>
        <v>3250</v>
      </c>
      <c r="F40" s="375">
        <f t="shared" si="13"/>
        <v>3250</v>
      </c>
      <c r="G40" s="375">
        <f t="shared" si="13"/>
        <v>3250</v>
      </c>
      <c r="H40" s="393">
        <f t="shared" si="11"/>
        <v>9750</v>
      </c>
      <c r="I40" s="375">
        <f t="shared" si="13"/>
        <v>3250</v>
      </c>
      <c r="J40" s="375">
        <f t="shared" si="13"/>
        <v>3250</v>
      </c>
      <c r="K40" s="375">
        <f t="shared" si="13"/>
        <v>3250</v>
      </c>
      <c r="L40" s="393">
        <f t="shared" si="14"/>
        <v>9750</v>
      </c>
    </row>
    <row r="41" spans="1:12" ht="30" x14ac:dyDescent="0.25">
      <c r="A41" s="322" t="s">
        <v>187</v>
      </c>
      <c r="B41" s="220" t="s">
        <v>409</v>
      </c>
      <c r="C41" s="365" t="s">
        <v>755</v>
      </c>
      <c r="D41" s="377">
        <f>2*150*Baasandmed!$D$10</f>
        <v>19500</v>
      </c>
      <c r="E41" s="375">
        <f t="shared" si="13"/>
        <v>3250</v>
      </c>
      <c r="F41" s="375">
        <f t="shared" si="13"/>
        <v>3250</v>
      </c>
      <c r="G41" s="375">
        <f t="shared" si="13"/>
        <v>3250</v>
      </c>
      <c r="H41" s="393">
        <f t="shared" si="11"/>
        <v>9750</v>
      </c>
      <c r="I41" s="375">
        <f t="shared" si="13"/>
        <v>3250</v>
      </c>
      <c r="J41" s="375">
        <f t="shared" si="13"/>
        <v>3250</v>
      </c>
      <c r="K41" s="375">
        <f t="shared" si="13"/>
        <v>3250</v>
      </c>
      <c r="L41" s="393">
        <f t="shared" si="14"/>
        <v>9750</v>
      </c>
    </row>
    <row r="42" spans="1:12" ht="30" x14ac:dyDescent="0.25">
      <c r="A42" s="322" t="s">
        <v>756</v>
      </c>
      <c r="B42" s="219" t="s">
        <v>410</v>
      </c>
      <c r="C42" s="366" t="s">
        <v>782</v>
      </c>
      <c r="D42" s="377">
        <f>3*150*Baasandmed!$D$10</f>
        <v>29250</v>
      </c>
      <c r="E42" s="375">
        <f t="shared" si="13"/>
        <v>4875</v>
      </c>
      <c r="F42" s="375">
        <f t="shared" si="13"/>
        <v>4875</v>
      </c>
      <c r="G42" s="375">
        <f t="shared" si="13"/>
        <v>4875</v>
      </c>
      <c r="H42" s="393">
        <f t="shared" si="11"/>
        <v>14625</v>
      </c>
      <c r="I42" s="375">
        <f t="shared" si="13"/>
        <v>4875</v>
      </c>
      <c r="J42" s="375">
        <f t="shared" si="13"/>
        <v>4875</v>
      </c>
      <c r="K42" s="375">
        <f t="shared" si="13"/>
        <v>4875</v>
      </c>
      <c r="L42" s="393">
        <f t="shared" si="14"/>
        <v>14625</v>
      </c>
    </row>
    <row r="43" spans="1:12" ht="39" x14ac:dyDescent="0.25">
      <c r="A43" s="322" t="s">
        <v>757</v>
      </c>
      <c r="B43" s="220" t="s">
        <v>411</v>
      </c>
      <c r="C43" s="365" t="s">
        <v>783</v>
      </c>
      <c r="D43" s="377">
        <f>7*150*Baasandmed!$D$10</f>
        <v>68250</v>
      </c>
      <c r="E43" s="375">
        <f t="shared" si="13"/>
        <v>11375</v>
      </c>
      <c r="F43" s="375">
        <f t="shared" si="13"/>
        <v>11375</v>
      </c>
      <c r="G43" s="375">
        <f t="shared" si="13"/>
        <v>11375</v>
      </c>
      <c r="H43" s="393">
        <f t="shared" si="11"/>
        <v>34125</v>
      </c>
      <c r="I43" s="375">
        <f t="shared" si="13"/>
        <v>11375</v>
      </c>
      <c r="J43" s="375">
        <f t="shared" si="13"/>
        <v>11375</v>
      </c>
      <c r="K43" s="375">
        <f t="shared" si="13"/>
        <v>11375</v>
      </c>
      <c r="L43" s="393">
        <f t="shared" si="14"/>
        <v>34125</v>
      </c>
    </row>
    <row r="44" spans="1:12" x14ac:dyDescent="0.25">
      <c r="A44" s="322" t="s">
        <v>758</v>
      </c>
      <c r="B44" s="217" t="s">
        <v>164</v>
      </c>
      <c r="C44" s="367" t="s">
        <v>759</v>
      </c>
      <c r="D44" s="377">
        <f>100*Baasandmed!$D$10</f>
        <v>6500</v>
      </c>
      <c r="E44" s="375">
        <f t="shared" si="13"/>
        <v>1083.3333333333333</v>
      </c>
      <c r="F44" s="375">
        <f t="shared" si="13"/>
        <v>1083.3333333333333</v>
      </c>
      <c r="G44" s="375">
        <f t="shared" si="13"/>
        <v>1083.3333333333333</v>
      </c>
      <c r="H44" s="393">
        <f>SUM(E44:G44)</f>
        <v>3250</v>
      </c>
      <c r="I44" s="375">
        <f t="shared" si="13"/>
        <v>1083.3333333333333</v>
      </c>
      <c r="J44" s="375">
        <f t="shared" si="13"/>
        <v>1083.3333333333333</v>
      </c>
      <c r="K44" s="375">
        <f t="shared" si="13"/>
        <v>1083.3333333333333</v>
      </c>
      <c r="L44" s="393">
        <f t="shared" si="14"/>
        <v>3250</v>
      </c>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30DBF70574794C90979C7414136C89" ma:contentTypeVersion="2" ma:contentTypeDescription="Create a new document." ma:contentTypeScope="" ma:versionID="a4b75eb6b267b3da27b3eb52c1941def">
  <xsd:schema xmlns:xsd="http://www.w3.org/2001/XMLSchema" xmlns:xs="http://www.w3.org/2001/XMLSchema" xmlns:p="http://schemas.microsoft.com/office/2006/metadata/properties" xmlns:ns2="daf81813-2a5a-4a34-87ea-cb5019698a59" targetNamespace="http://schemas.microsoft.com/office/2006/metadata/properties" ma:root="true" ma:fieldsID="605c44059926b4076fd960765fa4b7a9" ns2:_="">
    <xsd:import namespace="daf81813-2a5a-4a34-87ea-cb5019698a5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f81813-2a5a-4a34-87ea-cb5019698a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AC9EE9-F276-4A09-89E9-A58C12F391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f81813-2a5a-4a34-87ea-cb5019698a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219D31-EC69-4007-910D-82D8EE88E5B6}">
  <ds:schemaRefs>
    <ds:schemaRef ds:uri="http://purl.org/dc/elements/1.1/"/>
    <ds:schemaRef ds:uri="http://schemas.microsoft.com/office/2006/metadata/properties"/>
    <ds:schemaRef ds:uri="daf81813-2a5a-4a34-87ea-cb5019698a59"/>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319A8650-F836-4237-AADA-B89A6719B3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Print</vt:lpstr>
      <vt:lpstr>Tulemused</vt:lpstr>
      <vt:lpstr>Teenuste valik</vt:lpstr>
      <vt:lpstr>Kokkuvõte</vt:lpstr>
      <vt:lpstr>Majandusanalüüs</vt:lpstr>
      <vt:lpstr>Tasulised teenused</vt:lpstr>
      <vt:lpstr>Baasandmed</vt:lpstr>
      <vt:lpstr>Kulude_jaotus</vt:lpstr>
      <vt:lpstr>Hinnang</vt:lpstr>
      <vt:lpstr>Otsene_tulu</vt:lpstr>
      <vt:lpstr>Sihtgrupp</vt:lpstr>
      <vt:lpstr>Teenus</vt:lpstr>
      <vt:lpstr>Teenuse_kulu</vt:lpstr>
      <vt:lpstr>Teenuse_pidaja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Paukson Martin (EXT)</dc:creator>
  <cp:keywords/>
  <dc:description/>
  <cp:lastModifiedBy>Jane Lumiste</cp:lastModifiedBy>
  <cp:revision/>
  <dcterms:created xsi:type="dcterms:W3CDTF">2019-06-11T10:00:51Z</dcterms:created>
  <dcterms:modified xsi:type="dcterms:W3CDTF">2019-09-09T12:54:35Z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0x0101007430DBF70574794C90979C7414136C89</vt:lpwstr>
  </property>
</Properties>
</file>